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ccountantsdesktop-my.sharepoint.com/personal/dennis_accountantsdesktop_com_au/Documents/AD Documents/Calculations/Financial/"/>
    </mc:Choice>
  </mc:AlternateContent>
  <xr:revisionPtr revIDLastSave="35" documentId="8_{2D79E0C8-423B-41A7-A80E-1C984DAC0465}" xr6:coauthVersionLast="47" xr6:coauthVersionMax="47" xr10:uidLastSave="{0EB512C5-3493-4990-9F38-62BF098E69A0}"/>
  <workbookProtection workbookAlgorithmName="SHA-512" workbookHashValue="KLbXm/v4iCM3f+UDoeSJCMl6D7vgldO7CdJZ5zikecV5B+YPB0o3OJO1wJq+gYm4oCLNjo79rAd1g6NrRbWt0A==" workbookSaltValue="iT4cvS6bNWXF4nbzp1hJEg==" workbookSpinCount="100000" lockStructure="1"/>
  <bookViews>
    <workbookView xWindow="-120" yWindow="-120" windowWidth="29040" windowHeight="15720" firstSheet="1" activeTab="1" xr2:uid="{00000000-000D-0000-FFFF-FFFF00000000}"/>
  </bookViews>
  <sheets>
    <sheet name="Control" sheetId="9" state="hidden" r:id="rId1"/>
    <sheet name="Hire Purchase" sheetId="6" r:id="rId2"/>
    <sheet name="Journal Worksheet" sheetId="8" r:id="rId3"/>
    <sheet name="DIY" sheetId="10" r:id="rId4"/>
  </sheets>
  <definedNames>
    <definedName name="_xleta.COUNT" hidden="1" xlm="1">#NAME?</definedName>
    <definedName name="_xleta.IF" hidden="1" xlm="1">#NAME?</definedName>
    <definedName name="_xleta.MONTH" hidden="1" xlm="1">#NAME?</definedName>
    <definedName name="_xleta.N" hidden="1" xlm="1">#NAME?</definedName>
    <definedName name="_xleta.SUM" hidden="1" xlm="1">#NAME?</definedName>
    <definedName name="_xleta.T" hidden="1" xlm="1">#NAME?</definedName>
    <definedName name="BorrowingExpenses">Control!#REF!</definedName>
    <definedName name="BorrowingMaxPeriod">Control!$D$3</definedName>
    <definedName name="BorrowingWriteOff">Control!$D$2</definedName>
    <definedName name="DateCommence">'Hire Purchase'!$K$10</definedName>
    <definedName name="EmailSubject">Control!#REF!</definedName>
    <definedName name="HpSchedule">'Hire Purchase'!$D$18:$N$107</definedName>
    <definedName name="HpSummary">'Hire Purchase'!$M$6:$O$13</definedName>
    <definedName name="_xlnm.Print_Area" localSheetId="1">'Hire Purchase'!$D:$O</definedName>
    <definedName name="_xlnm.Print_Area" localSheetId="2">'Journal Worksheet'!$B:$O</definedName>
    <definedName name="_xlnm.Print_Titles" localSheetId="1">'Hire Purchase'!$16:$17</definedName>
    <definedName name="YearBegin">'Hire Purchase'!#REF!</definedName>
    <definedName name="YearEnd">Control!$D$4</definedName>
  </definedNames>
  <calcPr calcId="191029" iterateCount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9" l="1"/>
  <c r="B15" i="6"/>
  <c r="I12" i="6"/>
  <c r="M96" i="6"/>
  <c r="M97" i="6"/>
  <c r="M98" i="6"/>
  <c r="M99" i="6"/>
  <c r="M100" i="6"/>
  <c r="M101" i="6"/>
  <c r="M102" i="6"/>
  <c r="M103" i="6"/>
  <c r="M104" i="6"/>
  <c r="M105" i="6"/>
  <c r="M106" i="6"/>
  <c r="M107" i="6"/>
  <c r="M95" i="6"/>
  <c r="L107" i="6"/>
  <c r="K107" i="6"/>
  <c r="J107" i="6"/>
  <c r="G11" i="6"/>
  <c r="B13" i="6" l="1"/>
  <c r="B6" i="8" l="1"/>
  <c r="B5" i="8" l="1"/>
  <c r="L32" i="8"/>
  <c r="G32" i="8"/>
  <c r="B32" i="8"/>
  <c r="L19" i="8"/>
  <c r="G19" i="8"/>
  <c r="B19" i="8"/>
  <c r="L5" i="8"/>
  <c r="G5" i="8"/>
  <c r="M39" i="8" l="1"/>
  <c r="O39" i="8" s="1"/>
  <c r="H39" i="8"/>
  <c r="J39" i="8" s="1"/>
  <c r="H26" i="8"/>
  <c r="J26" i="8" s="1"/>
  <c r="M26" i="8"/>
  <c r="O26" i="8" s="1"/>
  <c r="C39" i="8"/>
  <c r="E39" i="8" s="1"/>
  <c r="C26" i="8"/>
  <c r="E26" i="8" s="1"/>
  <c r="M12" i="8"/>
  <c r="O12" i="8" s="1"/>
  <c r="H12" i="8"/>
  <c r="O2" i="8"/>
  <c r="O3" i="8"/>
  <c r="B3" i="8"/>
  <c r="J12" i="8" l="1"/>
  <c r="H108" i="6"/>
  <c r="B109" i="6"/>
  <c r="D18" i="6"/>
  <c r="G13" i="6"/>
  <c r="E108" i="6"/>
  <c r="G18" i="6" l="1"/>
  <c r="B18" i="6"/>
  <c r="D19" i="6"/>
  <c r="E18" i="6"/>
  <c r="B5" i="6" l="1"/>
  <c r="G19" i="6"/>
  <c r="B19" i="6"/>
  <c r="D20" i="6"/>
  <c r="H18" i="6"/>
  <c r="E19" i="6" s="1"/>
  <c r="F19" i="6" s="1"/>
  <c r="I18" i="6"/>
  <c r="B10" i="6" l="1"/>
  <c r="N18" i="6"/>
  <c r="B6" i="6"/>
  <c r="G20" i="6"/>
  <c r="D21" i="6"/>
  <c r="B20" i="6"/>
  <c r="I19" i="6"/>
  <c r="H19" i="6"/>
  <c r="E20" i="6" s="1"/>
  <c r="F20" i="6" s="1"/>
  <c r="N19" i="6" l="1"/>
  <c r="O19" i="6" s="1"/>
  <c r="B11" i="6"/>
  <c r="O18" i="6"/>
  <c r="B7" i="6"/>
  <c r="G21" i="6"/>
  <c r="D22" i="6"/>
  <c r="A21" i="6"/>
  <c r="B21" i="6"/>
  <c r="I20" i="6"/>
  <c r="H20" i="6"/>
  <c r="N20" i="6" l="1"/>
  <c r="N21" i="6" s="1"/>
  <c r="N22" i="6" s="1"/>
  <c r="G22" i="6"/>
  <c r="D23" i="6"/>
  <c r="A22" i="6"/>
  <c r="N23" i="6" l="1"/>
  <c r="N24" i="6" s="1"/>
  <c r="O20" i="6"/>
  <c r="G23" i="6"/>
  <c r="D24" i="6"/>
  <c r="A23" i="6"/>
  <c r="E21" i="6"/>
  <c r="F21" i="6" s="1"/>
  <c r="I21" i="6"/>
  <c r="N25" i="6" l="1"/>
  <c r="O21" i="6"/>
  <c r="G24" i="6"/>
  <c r="D25" i="6"/>
  <c r="A24" i="6"/>
  <c r="B22" i="6"/>
  <c r="H21" i="6"/>
  <c r="E22" i="6" s="1"/>
  <c r="F22" i="6" s="1"/>
  <c r="I22" i="6"/>
  <c r="B23" i="6"/>
  <c r="N26" i="6" l="1"/>
  <c r="N27" i="6" s="1"/>
  <c r="N28" i="6" s="1"/>
  <c r="N29" i="6" s="1"/>
  <c r="N30" i="6" s="1"/>
  <c r="N31" i="6" s="1"/>
  <c r="N32" i="6" s="1"/>
  <c r="N33" i="6" s="1"/>
  <c r="N34" i="6" s="1"/>
  <c r="N35" i="6" s="1"/>
  <c r="N36" i="6" s="1"/>
  <c r="N37" i="6" s="1"/>
  <c r="N38" i="6" s="1"/>
  <c r="N39" i="6" s="1"/>
  <c r="N40" i="6" s="1"/>
  <c r="N41" i="6" s="1"/>
  <c r="N42" i="6" s="1"/>
  <c r="N43" i="6" s="1"/>
  <c r="N44" i="6" s="1"/>
  <c r="N45" i="6" s="1"/>
  <c r="N46" i="6" s="1"/>
  <c r="N47" i="6" s="1"/>
  <c r="N48" i="6" s="1"/>
  <c r="N49" i="6" s="1"/>
  <c r="N50" i="6" s="1"/>
  <c r="N51" i="6" s="1"/>
  <c r="N52" i="6" s="1"/>
  <c r="N53" i="6" s="1"/>
  <c r="N54" i="6" s="1"/>
  <c r="N55" i="6" s="1"/>
  <c r="N56" i="6" s="1"/>
  <c r="N57" i="6" s="1"/>
  <c r="N58" i="6" s="1"/>
  <c r="N59" i="6" s="1"/>
  <c r="N60" i="6" s="1"/>
  <c r="N61" i="6" s="1"/>
  <c r="N62" i="6" s="1"/>
  <c r="N63" i="6" s="1"/>
  <c r="N64" i="6" s="1"/>
  <c r="N65" i="6" s="1"/>
  <c r="N66" i="6" s="1"/>
  <c r="N67" i="6" s="1"/>
  <c r="N68" i="6" s="1"/>
  <c r="N69" i="6" s="1"/>
  <c r="N70" i="6" s="1"/>
  <c r="N71" i="6" s="1"/>
  <c r="N72" i="6" s="1"/>
  <c r="N73" i="6" s="1"/>
  <c r="N74" i="6" s="1"/>
  <c r="N75" i="6" s="1"/>
  <c r="N76" i="6" s="1"/>
  <c r="N77" i="6" s="1"/>
  <c r="N78" i="6" s="1"/>
  <c r="N79" i="6" s="1"/>
  <c r="N80" i="6" s="1"/>
  <c r="N81" i="6" s="1"/>
  <c r="N82" i="6" s="1"/>
  <c r="N83" i="6" s="1"/>
  <c r="N84" i="6" s="1"/>
  <c r="N85" i="6" s="1"/>
  <c r="N86" i="6" s="1"/>
  <c r="N87" i="6" s="1"/>
  <c r="N88" i="6" s="1"/>
  <c r="N89" i="6" s="1"/>
  <c r="N90" i="6" s="1"/>
  <c r="N91" i="6" s="1"/>
  <c r="N92" i="6" s="1"/>
  <c r="N93" i="6" s="1"/>
  <c r="N94" i="6" s="1"/>
  <c r="N95" i="6" s="1"/>
  <c r="N96" i="6" s="1"/>
  <c r="N97" i="6" s="1"/>
  <c r="N98" i="6" s="1"/>
  <c r="N99" i="6" s="1"/>
  <c r="N100" i="6" s="1"/>
  <c r="N101" i="6" s="1"/>
  <c r="N102" i="6" s="1"/>
  <c r="N103" i="6" s="1"/>
  <c r="N104" i="6" s="1"/>
  <c r="N105" i="6" s="1"/>
  <c r="N106" i="6" s="1"/>
  <c r="N107" i="6" s="1"/>
  <c r="O22" i="6"/>
  <c r="G25" i="6"/>
  <c r="D26" i="6"/>
  <c r="A25" i="6"/>
  <c r="H22" i="6"/>
  <c r="E23" i="6" s="1"/>
  <c r="F23" i="6" s="1"/>
  <c r="B24" i="6"/>
  <c r="I23" i="6"/>
  <c r="O24" i="6" l="1"/>
  <c r="O23" i="6"/>
  <c r="G26" i="6"/>
  <c r="D27" i="6"/>
  <c r="D28" i="6" s="1"/>
  <c r="A26" i="6"/>
  <c r="H23" i="6"/>
  <c r="E24" i="6" s="1"/>
  <c r="F24" i="6" s="1"/>
  <c r="I24" i="6"/>
  <c r="B25" i="6"/>
  <c r="O26" i="6" l="1"/>
  <c r="O25" i="6"/>
  <c r="G27" i="6"/>
  <c r="D29" i="6"/>
  <c r="A27" i="6"/>
  <c r="A28" i="6"/>
  <c r="H24" i="6"/>
  <c r="E25" i="6" s="1"/>
  <c r="F25" i="6" s="1"/>
  <c r="B26" i="6"/>
  <c r="I25" i="6"/>
  <c r="O27" i="6" l="1"/>
  <c r="G28" i="6"/>
  <c r="O28" i="6" s="1"/>
  <c r="D30" i="6"/>
  <c r="A29" i="6"/>
  <c r="H25" i="6"/>
  <c r="E26" i="6" s="1"/>
  <c r="F26" i="6" s="1"/>
  <c r="I26" i="6"/>
  <c r="B27" i="6"/>
  <c r="G29" i="6" l="1"/>
  <c r="O29" i="6" s="1"/>
  <c r="D31" i="6"/>
  <c r="A30" i="6"/>
  <c r="H26" i="6"/>
  <c r="E27" i="6" s="1"/>
  <c r="F27" i="6" s="1"/>
  <c r="B28" i="6"/>
  <c r="I27" i="6"/>
  <c r="G30" i="6" l="1"/>
  <c r="O30" i="6" s="1"/>
  <c r="D32" i="6"/>
  <c r="A31" i="6"/>
  <c r="H27" i="6"/>
  <c r="E28" i="6" s="1"/>
  <c r="F28" i="6" s="1"/>
  <c r="I28" i="6"/>
  <c r="B29" i="6"/>
  <c r="G31" i="6" l="1"/>
  <c r="O31" i="6" s="1"/>
  <c r="D33" i="6"/>
  <c r="A32" i="6"/>
  <c r="H28" i="6"/>
  <c r="E29" i="6" s="1"/>
  <c r="F29" i="6" s="1"/>
  <c r="I29" i="6"/>
  <c r="J18" i="6"/>
  <c r="B30" i="6"/>
  <c r="G32" i="6" l="1"/>
  <c r="O32" i="6" s="1"/>
  <c r="D34" i="6"/>
  <c r="A33" i="6"/>
  <c r="J19" i="6"/>
  <c r="K18" i="6"/>
  <c r="H29" i="6"/>
  <c r="E30" i="6" s="1"/>
  <c r="F30" i="6" s="1"/>
  <c r="I30" i="6"/>
  <c r="G33" i="6" l="1"/>
  <c r="O33" i="6" s="1"/>
  <c r="D35" i="6"/>
  <c r="D36" i="6" s="1"/>
  <c r="D37" i="6" s="1"/>
  <c r="D38" i="6" s="1"/>
  <c r="D39" i="6" s="1"/>
  <c r="D40" i="6" s="1"/>
  <c r="D41" i="6" s="1"/>
  <c r="D42" i="6" s="1"/>
  <c r="D43" i="6" s="1"/>
  <c r="D44" i="6" s="1"/>
  <c r="D45" i="6" s="1"/>
  <c r="D46" i="6" s="1"/>
  <c r="D47" i="6" s="1"/>
  <c r="D48" i="6" s="1"/>
  <c r="D49" i="6" s="1"/>
  <c r="D50" i="6" s="1"/>
  <c r="D51" i="6" s="1"/>
  <c r="D52" i="6" s="1"/>
  <c r="D53" i="6" s="1"/>
  <c r="D54" i="6" s="1"/>
  <c r="D55" i="6" s="1"/>
  <c r="D56" i="6" s="1"/>
  <c r="D57" i="6" s="1"/>
  <c r="D58" i="6" s="1"/>
  <c r="D59" i="6" s="1"/>
  <c r="D60" i="6" s="1"/>
  <c r="D61" i="6" s="1"/>
  <c r="D62" i="6" s="1"/>
  <c r="D63" i="6" s="1"/>
  <c r="D64" i="6" s="1"/>
  <c r="D65" i="6" s="1"/>
  <c r="D66" i="6" s="1"/>
  <c r="D67" i="6" s="1"/>
  <c r="D68" i="6" s="1"/>
  <c r="D69" i="6" s="1"/>
  <c r="D70" i="6" s="1"/>
  <c r="D71" i="6" s="1"/>
  <c r="D72" i="6" s="1"/>
  <c r="D73" i="6" s="1"/>
  <c r="D74" i="6" s="1"/>
  <c r="D75" i="6" s="1"/>
  <c r="D76" i="6" s="1"/>
  <c r="D77" i="6" s="1"/>
  <c r="D78" i="6" s="1"/>
  <c r="D79" i="6" s="1"/>
  <c r="D80" i="6" s="1"/>
  <c r="D81" i="6" s="1"/>
  <c r="D82" i="6" s="1"/>
  <c r="D83" i="6" s="1"/>
  <c r="D84" i="6" s="1"/>
  <c r="D85" i="6" s="1"/>
  <c r="D86" i="6" s="1"/>
  <c r="D87" i="6" s="1"/>
  <c r="D88" i="6" s="1"/>
  <c r="D89" i="6" s="1"/>
  <c r="D90" i="6" s="1"/>
  <c r="D91" i="6" s="1"/>
  <c r="D92" i="6" s="1"/>
  <c r="D93" i="6" s="1"/>
  <c r="D94" i="6" s="1"/>
  <c r="A34" i="6"/>
  <c r="B31" i="6"/>
  <c r="K19" i="6"/>
  <c r="L18" i="6"/>
  <c r="H30" i="6"/>
  <c r="E31" i="6" s="1"/>
  <c r="F31" i="6" s="1"/>
  <c r="I31" i="6"/>
  <c r="G34" i="6" l="1"/>
  <c r="O34" i="6" s="1"/>
  <c r="D95" i="6"/>
  <c r="A35" i="6"/>
  <c r="B32" i="6"/>
  <c r="L19" i="6"/>
  <c r="H31" i="6"/>
  <c r="E32" i="6" s="1"/>
  <c r="F32" i="6" s="1"/>
  <c r="J20" i="6"/>
  <c r="I32" i="6"/>
  <c r="G35" i="6" l="1"/>
  <c r="O35" i="6" s="1"/>
  <c r="D96" i="6"/>
  <c r="A36" i="6"/>
  <c r="K20" i="6"/>
  <c r="H32" i="6"/>
  <c r="L20" i="6"/>
  <c r="G36" i="6" l="1"/>
  <c r="O36" i="6" s="1"/>
  <c r="D97" i="6"/>
  <c r="A37" i="6"/>
  <c r="E33" i="6"/>
  <c r="F33" i="6" s="1"/>
  <c r="I33" i="6"/>
  <c r="J21" i="6"/>
  <c r="B33" i="6"/>
  <c r="G37" i="6" l="1"/>
  <c r="O37" i="6" s="1"/>
  <c r="D98" i="6"/>
  <c r="H33" i="6"/>
  <c r="E34" i="6" s="1"/>
  <c r="F34" i="6" s="1"/>
  <c r="A38" i="6"/>
  <c r="K21" i="6"/>
  <c r="B34" i="6"/>
  <c r="L21" i="6"/>
  <c r="G38" i="6" l="1"/>
  <c r="O38" i="6" s="1"/>
  <c r="D99" i="6"/>
  <c r="D100" i="6" s="1"/>
  <c r="A39" i="6"/>
  <c r="H34" i="6"/>
  <c r="J22" i="6"/>
  <c r="I34" i="6"/>
  <c r="L22" i="6"/>
  <c r="G39" i="6" l="1"/>
  <c r="O39" i="6" s="1"/>
  <c r="D101" i="6"/>
  <c r="A40" i="6"/>
  <c r="K22" i="6"/>
  <c r="G40" i="6" l="1"/>
  <c r="O40" i="6" s="1"/>
  <c r="D102" i="6"/>
  <c r="A41" i="6"/>
  <c r="B35" i="6"/>
  <c r="E35" i="6"/>
  <c r="F35" i="6" s="1"/>
  <c r="G41" i="6" l="1"/>
  <c r="O41" i="6" s="1"/>
  <c r="D103" i="6"/>
  <c r="A42" i="6"/>
  <c r="L23" i="6"/>
  <c r="J23" i="6"/>
  <c r="I35" i="6"/>
  <c r="G42" i="6" l="1"/>
  <c r="O42" i="6" s="1"/>
  <c r="D104" i="6"/>
  <c r="A43" i="6"/>
  <c r="H35" i="6"/>
  <c r="K23" i="6"/>
  <c r="G43" i="6" l="1"/>
  <c r="O43" i="6" s="1"/>
  <c r="D105" i="6"/>
  <c r="A44" i="6"/>
  <c r="B36" i="6"/>
  <c r="E36" i="6"/>
  <c r="F36" i="6" s="1"/>
  <c r="G44" i="6" l="1"/>
  <c r="O44" i="6" s="1"/>
  <c r="D106" i="6"/>
  <c r="L24" i="6"/>
  <c r="A45" i="6"/>
  <c r="J24" i="6"/>
  <c r="I36" i="6"/>
  <c r="G45" i="6" l="1"/>
  <c r="O45" i="6" s="1"/>
  <c r="D107" i="6"/>
  <c r="H36" i="6"/>
  <c r="E37" i="6" s="1"/>
  <c r="F37" i="6" s="1"/>
  <c r="A46" i="6"/>
  <c r="K24" i="6"/>
  <c r="G46" i="6" l="1"/>
  <c r="O46" i="6" s="1"/>
  <c r="H107" i="6"/>
  <c r="A47" i="6"/>
  <c r="L25" i="6"/>
  <c r="B37" i="6"/>
  <c r="H37" i="6"/>
  <c r="G47" i="6" l="1"/>
  <c r="O47" i="6" s="1"/>
  <c r="A48" i="6"/>
  <c r="J25" i="6"/>
  <c r="I37" i="6"/>
  <c r="G48" i="6" l="1"/>
  <c r="O48" i="6" s="1"/>
  <c r="A49" i="6"/>
  <c r="K25" i="6"/>
  <c r="G49" i="6" l="1"/>
  <c r="O49" i="6" s="1"/>
  <c r="A50" i="6"/>
  <c r="B38" i="6"/>
  <c r="E38" i="6"/>
  <c r="F38" i="6" s="1"/>
  <c r="G50" i="6" l="1"/>
  <c r="O50" i="6" s="1"/>
  <c r="A51" i="6"/>
  <c r="L26" i="6"/>
  <c r="H38" i="6"/>
  <c r="J26" i="6"/>
  <c r="I38" i="6"/>
  <c r="G51" i="6" l="1"/>
  <c r="O51" i="6" s="1"/>
  <c r="A52" i="6"/>
  <c r="K26" i="6"/>
  <c r="G52" i="6" l="1"/>
  <c r="O52" i="6" s="1"/>
  <c r="A53" i="6"/>
  <c r="B39" i="6"/>
  <c r="E39" i="6"/>
  <c r="F39" i="6" s="1"/>
  <c r="G53" i="6" l="1"/>
  <c r="O53" i="6" s="1"/>
  <c r="A54" i="6"/>
  <c r="L27" i="6"/>
  <c r="H39" i="6"/>
  <c r="J27" i="6"/>
  <c r="I39" i="6"/>
  <c r="G54" i="6" l="1"/>
  <c r="O54" i="6" s="1"/>
  <c r="A55" i="6"/>
  <c r="K27" i="6"/>
  <c r="G55" i="6" l="1"/>
  <c r="O55" i="6" s="1"/>
  <c r="A56" i="6"/>
  <c r="B40" i="6"/>
  <c r="E40" i="6"/>
  <c r="F40" i="6" s="1"/>
  <c r="G56" i="6" l="1"/>
  <c r="O56" i="6" s="1"/>
  <c r="A57" i="6"/>
  <c r="L28" i="6"/>
  <c r="H40" i="6"/>
  <c r="J28" i="6"/>
  <c r="I40" i="6"/>
  <c r="G57" i="6" l="1"/>
  <c r="O57" i="6" s="1"/>
  <c r="A58" i="6"/>
  <c r="K28" i="6"/>
  <c r="E41" i="6"/>
  <c r="F41" i="6" s="1"/>
  <c r="G58" i="6" l="1"/>
  <c r="O58" i="6" s="1"/>
  <c r="A59" i="6"/>
  <c r="L29" i="6"/>
  <c r="B41" i="6"/>
  <c r="H41" i="6"/>
  <c r="G59" i="6" l="1"/>
  <c r="O59" i="6" s="1"/>
  <c r="A60" i="6"/>
  <c r="J29" i="6"/>
  <c r="I41" i="6"/>
  <c r="G60" i="6" l="1"/>
  <c r="O60" i="6" s="1"/>
  <c r="A61" i="6"/>
  <c r="K29" i="6"/>
  <c r="G61" i="6" l="1"/>
  <c r="O61" i="6" s="1"/>
  <c r="A62" i="6"/>
  <c r="B42" i="6"/>
  <c r="E42" i="6"/>
  <c r="F42" i="6" s="1"/>
  <c r="G62" i="6" l="1"/>
  <c r="O62" i="6" s="1"/>
  <c r="A63" i="6"/>
  <c r="L30" i="6"/>
  <c r="H42" i="6"/>
  <c r="J30" i="6"/>
  <c r="I42" i="6"/>
  <c r="G63" i="6" l="1"/>
  <c r="O63" i="6" s="1"/>
  <c r="A64" i="6"/>
  <c r="K30" i="6"/>
  <c r="E43" i="6"/>
  <c r="F43" i="6" s="1"/>
  <c r="G64" i="6" l="1"/>
  <c r="O64" i="6" s="1"/>
  <c r="A65" i="6"/>
  <c r="L31" i="6"/>
  <c r="B43" i="6"/>
  <c r="H43" i="6"/>
  <c r="G65" i="6" l="1"/>
  <c r="O65" i="6" s="1"/>
  <c r="A66" i="6"/>
  <c r="J31" i="6"/>
  <c r="I43" i="6"/>
  <c r="G66" i="6" l="1"/>
  <c r="O66" i="6" s="1"/>
  <c r="A67" i="6"/>
  <c r="K31" i="6"/>
  <c r="G67" i="6" l="1"/>
  <c r="O67" i="6" s="1"/>
  <c r="A68" i="6"/>
  <c r="B44" i="6"/>
  <c r="E44" i="6"/>
  <c r="F44" i="6" s="1"/>
  <c r="G68" i="6" l="1"/>
  <c r="O68" i="6" s="1"/>
  <c r="A69" i="6"/>
  <c r="L32" i="6"/>
  <c r="H44" i="6"/>
  <c r="J32" i="6"/>
  <c r="I44" i="6"/>
  <c r="G69" i="6" l="1"/>
  <c r="O69" i="6" s="1"/>
  <c r="A70" i="6"/>
  <c r="K32" i="6"/>
  <c r="E45" i="6"/>
  <c r="F45" i="6" s="1"/>
  <c r="G70" i="6" l="1"/>
  <c r="O70" i="6" s="1"/>
  <c r="A71" i="6"/>
  <c r="L33" i="6"/>
  <c r="B45" i="6"/>
  <c r="H45" i="6"/>
  <c r="G71" i="6" l="1"/>
  <c r="O71" i="6" s="1"/>
  <c r="A72" i="6"/>
  <c r="J33" i="6"/>
  <c r="I45" i="6"/>
  <c r="G72" i="6" l="1"/>
  <c r="O72" i="6" s="1"/>
  <c r="A73" i="6"/>
  <c r="K33" i="6"/>
  <c r="G73" i="6" l="1"/>
  <c r="O73" i="6" s="1"/>
  <c r="A74" i="6"/>
  <c r="B46" i="6"/>
  <c r="E46" i="6"/>
  <c r="F46" i="6" s="1"/>
  <c r="G74" i="6" l="1"/>
  <c r="O74" i="6" s="1"/>
  <c r="A75" i="6"/>
  <c r="L34" i="6"/>
  <c r="H46" i="6"/>
  <c r="J34" i="6"/>
  <c r="I46" i="6"/>
  <c r="G75" i="6" l="1"/>
  <c r="O75" i="6" s="1"/>
  <c r="A76" i="6"/>
  <c r="K34" i="6"/>
  <c r="E47" i="6"/>
  <c r="F47" i="6" s="1"/>
  <c r="G76" i="6" l="1"/>
  <c r="O76" i="6" s="1"/>
  <c r="A77" i="6"/>
  <c r="L35" i="6"/>
  <c r="B47" i="6"/>
  <c r="G77" i="6" l="1"/>
  <c r="O77" i="6" s="1"/>
  <c r="A78" i="6"/>
  <c r="J35" i="6"/>
  <c r="I47" i="6"/>
  <c r="H47" i="6"/>
  <c r="G78" i="6" l="1"/>
  <c r="O78" i="6" s="1"/>
  <c r="A79" i="6"/>
  <c r="K35" i="6"/>
  <c r="G79" i="6" l="1"/>
  <c r="O79" i="6" s="1"/>
  <c r="A80" i="6"/>
  <c r="B48" i="6"/>
  <c r="E48" i="6"/>
  <c r="F48" i="6" s="1"/>
  <c r="G80" i="6" l="1"/>
  <c r="O80" i="6" s="1"/>
  <c r="A81" i="6"/>
  <c r="L36" i="6"/>
  <c r="H48" i="6"/>
  <c r="J36" i="6"/>
  <c r="I48" i="6"/>
  <c r="G81" i="6" l="1"/>
  <c r="O81" i="6" s="1"/>
  <c r="A82" i="6"/>
  <c r="K36" i="6"/>
  <c r="E49" i="6"/>
  <c r="F49" i="6" s="1"/>
  <c r="G82" i="6" l="1"/>
  <c r="O82" i="6" s="1"/>
  <c r="A83" i="6"/>
  <c r="L37" i="6"/>
  <c r="B49" i="6"/>
  <c r="G83" i="6" l="1"/>
  <c r="O83" i="6" s="1"/>
  <c r="A84" i="6"/>
  <c r="J37" i="6"/>
  <c r="I49" i="6"/>
  <c r="H49" i="6"/>
  <c r="G84" i="6" l="1"/>
  <c r="O84" i="6" s="1"/>
  <c r="A85" i="6"/>
  <c r="K37" i="6"/>
  <c r="G85" i="6" l="1"/>
  <c r="O85" i="6" s="1"/>
  <c r="A86" i="6"/>
  <c r="B50" i="6"/>
  <c r="E50" i="6"/>
  <c r="F50" i="6" s="1"/>
  <c r="G86" i="6" l="1"/>
  <c r="O86" i="6" s="1"/>
  <c r="A87" i="6"/>
  <c r="L38" i="6"/>
  <c r="H50" i="6"/>
  <c r="J38" i="6"/>
  <c r="I50" i="6"/>
  <c r="G87" i="6" l="1"/>
  <c r="O87" i="6" s="1"/>
  <c r="A88" i="6"/>
  <c r="K38" i="6"/>
  <c r="G88" i="6" l="1"/>
  <c r="O88" i="6" s="1"/>
  <c r="A89" i="6"/>
  <c r="B51" i="6"/>
  <c r="E51" i="6"/>
  <c r="F51" i="6" s="1"/>
  <c r="G89" i="6" l="1"/>
  <c r="O89" i="6" s="1"/>
  <c r="A90" i="6"/>
  <c r="L39" i="6"/>
  <c r="H51" i="6"/>
  <c r="J39" i="6"/>
  <c r="I51" i="6"/>
  <c r="G90" i="6" l="1"/>
  <c r="O90" i="6" s="1"/>
  <c r="A91" i="6"/>
  <c r="K39" i="6"/>
  <c r="E52" i="6"/>
  <c r="F52" i="6" s="1"/>
  <c r="G91" i="6" l="1"/>
  <c r="O91" i="6" s="1"/>
  <c r="A92" i="6"/>
  <c r="L40" i="6"/>
  <c r="B52" i="6"/>
  <c r="G92" i="6" l="1"/>
  <c r="O92" i="6" s="1"/>
  <c r="A93" i="6"/>
  <c r="J40" i="6"/>
  <c r="I52" i="6"/>
  <c r="H52" i="6"/>
  <c r="G93" i="6" l="1"/>
  <c r="O93" i="6" s="1"/>
  <c r="A94" i="6"/>
  <c r="K40" i="6"/>
  <c r="G94" i="6" l="1"/>
  <c r="O94" i="6" s="1"/>
  <c r="A95" i="6"/>
  <c r="B53" i="6"/>
  <c r="E53" i="6"/>
  <c r="F53" i="6" s="1"/>
  <c r="G95" i="6" l="1"/>
  <c r="O95" i="6" s="1"/>
  <c r="A96" i="6"/>
  <c r="L41" i="6"/>
  <c r="H53" i="6"/>
  <c r="J41" i="6"/>
  <c r="I53" i="6"/>
  <c r="G96" i="6" l="1"/>
  <c r="O96" i="6" s="1"/>
  <c r="A97" i="6"/>
  <c r="K41" i="6"/>
  <c r="E54" i="6"/>
  <c r="F54" i="6" s="1"/>
  <c r="G97" i="6" l="1"/>
  <c r="O97" i="6" s="1"/>
  <c r="A98" i="6"/>
  <c r="L42" i="6"/>
  <c r="B54" i="6"/>
  <c r="G98" i="6" l="1"/>
  <c r="O98" i="6" s="1"/>
  <c r="A99" i="6"/>
  <c r="J42" i="6"/>
  <c r="I54" i="6"/>
  <c r="H54" i="6"/>
  <c r="G99" i="6" l="1"/>
  <c r="O99" i="6" s="1"/>
  <c r="A100" i="6"/>
  <c r="K42" i="6"/>
  <c r="G100" i="6" l="1"/>
  <c r="O100" i="6" s="1"/>
  <c r="A101" i="6"/>
  <c r="B55" i="6"/>
  <c r="E55" i="6"/>
  <c r="F55" i="6" s="1"/>
  <c r="G101" i="6" l="1"/>
  <c r="O101" i="6" s="1"/>
  <c r="A102" i="6"/>
  <c r="L43" i="6"/>
  <c r="H55" i="6"/>
  <c r="J43" i="6"/>
  <c r="I55" i="6"/>
  <c r="G102" i="6" l="1"/>
  <c r="O102" i="6" s="1"/>
  <c r="A103" i="6"/>
  <c r="K43" i="6"/>
  <c r="G103" i="6" l="1"/>
  <c r="O103" i="6" s="1"/>
  <c r="A104" i="6"/>
  <c r="B56" i="6"/>
  <c r="E56" i="6"/>
  <c r="F56" i="6" s="1"/>
  <c r="G104" i="6" l="1"/>
  <c r="O104" i="6" s="1"/>
  <c r="A105" i="6"/>
  <c r="H56" i="6"/>
  <c r="L44" i="6"/>
  <c r="J44" i="6"/>
  <c r="I56" i="6"/>
  <c r="G105" i="6" l="1"/>
  <c r="O105" i="6" s="1"/>
  <c r="A106" i="6"/>
  <c r="K44" i="6"/>
  <c r="E57" i="6"/>
  <c r="F57" i="6" s="1"/>
  <c r="G106" i="6" l="1"/>
  <c r="O106" i="6" s="1"/>
  <c r="L45" i="6"/>
  <c r="B57" i="6"/>
  <c r="G107" i="6" l="1"/>
  <c r="O107" i="6" s="1"/>
  <c r="J45" i="6"/>
  <c r="I57" i="6"/>
  <c r="H57" i="6"/>
  <c r="K45" i="6" l="1"/>
  <c r="B58" i="6" l="1"/>
  <c r="E58" i="6"/>
  <c r="F58" i="6" s="1"/>
  <c r="N108" i="6"/>
  <c r="C47" i="8" s="1"/>
  <c r="L46" i="6" l="1"/>
  <c r="H58" i="6"/>
  <c r="J46" i="6"/>
  <c r="I58" i="6"/>
  <c r="H8" i="8"/>
  <c r="J8" i="8" s="1"/>
  <c r="M8" i="8"/>
  <c r="O8" i="8" s="1"/>
  <c r="M7" i="8"/>
  <c r="O7" i="8" s="1"/>
  <c r="M9" i="8"/>
  <c r="O9" i="8" s="1"/>
  <c r="H9" i="8"/>
  <c r="J9" i="8" s="1"/>
  <c r="H7" i="8"/>
  <c r="J7" i="8" s="1"/>
  <c r="K46" i="6" l="1"/>
  <c r="E59" i="6"/>
  <c r="F59" i="6" s="1"/>
  <c r="L47" i="6" l="1"/>
  <c r="H59" i="6"/>
  <c r="B59" i="6"/>
  <c r="J47" i="6" l="1"/>
  <c r="I59" i="6"/>
  <c r="K47" i="6" l="1"/>
  <c r="B60" i="6" l="1"/>
  <c r="E60" i="6"/>
  <c r="F60" i="6" s="1"/>
  <c r="J48" i="6" l="1"/>
  <c r="I60" i="6"/>
  <c r="L48" i="6"/>
  <c r="H60" i="6"/>
  <c r="K48" i="6" l="1"/>
  <c r="B61" i="6" l="1"/>
  <c r="E61" i="6"/>
  <c r="F61" i="6" s="1"/>
  <c r="J49" i="6" l="1"/>
  <c r="I61" i="6"/>
  <c r="L49" i="6"/>
  <c r="H61" i="6"/>
  <c r="K49" i="6" l="1"/>
  <c r="B62" i="6" l="1"/>
  <c r="E62" i="6"/>
  <c r="F62" i="6" s="1"/>
  <c r="L50" i="6" l="1"/>
  <c r="H62" i="6"/>
  <c r="J50" i="6"/>
  <c r="I62" i="6"/>
  <c r="K50" i="6" l="1"/>
  <c r="B63" i="6" l="1"/>
  <c r="E63" i="6"/>
  <c r="F63" i="6" s="1"/>
  <c r="H63" i="6" l="1"/>
  <c r="J51" i="6"/>
  <c r="I63" i="6"/>
  <c r="L51" i="6"/>
  <c r="K51" i="6" l="1"/>
  <c r="B64" i="6" l="1"/>
  <c r="E64" i="6"/>
  <c r="F64" i="6" s="1"/>
  <c r="J52" i="6" l="1"/>
  <c r="I64" i="6"/>
  <c r="L52" i="6"/>
  <c r="H64" i="6"/>
  <c r="K52" i="6" l="1"/>
  <c r="B65" i="6" l="1"/>
  <c r="E65" i="6"/>
  <c r="F65" i="6" s="1"/>
  <c r="L53" i="6" l="1"/>
  <c r="H65" i="6"/>
  <c r="J53" i="6"/>
  <c r="I65" i="6"/>
  <c r="K53" i="6" l="1"/>
  <c r="E66" i="6"/>
  <c r="F66" i="6" s="1"/>
  <c r="L54" i="6" l="1"/>
  <c r="B66" i="6"/>
  <c r="H66" i="6"/>
  <c r="J54" i="6" l="1"/>
  <c r="I66" i="6"/>
  <c r="K54" i="6" l="1"/>
  <c r="B67" i="6" l="1"/>
  <c r="E67" i="6"/>
  <c r="F67" i="6" s="1"/>
  <c r="L55" i="6" l="1"/>
  <c r="H67" i="6"/>
  <c r="J55" i="6"/>
  <c r="I67" i="6"/>
  <c r="K55" i="6" l="1"/>
  <c r="B68" i="6" l="1"/>
  <c r="E68" i="6"/>
  <c r="F68" i="6" s="1"/>
  <c r="L56" i="6" l="1"/>
  <c r="C22" i="8" s="1"/>
  <c r="E22" i="8" s="1"/>
  <c r="H68" i="6"/>
  <c r="J56" i="6"/>
  <c r="C21" i="8" s="1"/>
  <c r="E21" i="8" s="1"/>
  <c r="I68" i="6"/>
  <c r="K56" i="6" l="1"/>
  <c r="C23" i="8" s="1"/>
  <c r="E23" i="8" s="1"/>
  <c r="E69" i="6"/>
  <c r="F69" i="6" s="1"/>
  <c r="L57" i="6" l="1"/>
  <c r="H69" i="6"/>
  <c r="B69" i="6"/>
  <c r="J57" i="6" l="1"/>
  <c r="I69" i="6"/>
  <c r="K57" i="6" l="1"/>
  <c r="B70" i="6" l="1"/>
  <c r="E70" i="6"/>
  <c r="F70" i="6" s="1"/>
  <c r="L58" i="6" l="1"/>
  <c r="H70" i="6"/>
  <c r="J58" i="6"/>
  <c r="I70" i="6"/>
  <c r="K58" i="6" l="1"/>
  <c r="B71" i="6" l="1"/>
  <c r="E71" i="6"/>
  <c r="F71" i="6" s="1"/>
  <c r="L59" i="6" l="1"/>
  <c r="H71" i="6"/>
  <c r="J59" i="6"/>
  <c r="I71" i="6"/>
  <c r="K59" i="6" l="1"/>
  <c r="E72" i="6"/>
  <c r="F72" i="6" s="1"/>
  <c r="L60" i="6" l="1"/>
  <c r="H72" i="6"/>
  <c r="B72" i="6"/>
  <c r="J60" i="6" l="1"/>
  <c r="I72" i="6"/>
  <c r="K60" i="6" l="1"/>
  <c r="B73" i="6" l="1"/>
  <c r="E73" i="6"/>
  <c r="F73" i="6" s="1"/>
  <c r="L61" i="6" l="1"/>
  <c r="H73" i="6"/>
  <c r="J61" i="6"/>
  <c r="I73" i="6"/>
  <c r="K61" i="6" l="1"/>
  <c r="E74" i="6"/>
  <c r="F74" i="6" s="1"/>
  <c r="L62" i="6" l="1"/>
  <c r="B74" i="6"/>
  <c r="H74" i="6"/>
  <c r="J62" i="6" l="1"/>
  <c r="I74" i="6"/>
  <c r="K62" i="6" l="1"/>
  <c r="B75" i="6" l="1"/>
  <c r="E75" i="6"/>
  <c r="F75" i="6" s="1"/>
  <c r="H75" i="6" l="1"/>
  <c r="L63" i="6"/>
  <c r="J63" i="6"/>
  <c r="I75" i="6"/>
  <c r="K63" i="6" l="1"/>
  <c r="E76" i="6"/>
  <c r="F76" i="6" s="1"/>
  <c r="L64" i="6" l="1"/>
  <c r="B76" i="6"/>
  <c r="H76" i="6"/>
  <c r="J64" i="6" l="1"/>
  <c r="I76" i="6"/>
  <c r="K64" i="6" l="1"/>
  <c r="B77" i="6" l="1"/>
  <c r="E77" i="6"/>
  <c r="F77" i="6" s="1"/>
  <c r="L65" i="6" l="1"/>
  <c r="H77" i="6"/>
  <c r="J65" i="6"/>
  <c r="I77" i="6"/>
  <c r="K65" i="6" l="1"/>
  <c r="B78" i="6" l="1"/>
  <c r="E78" i="6"/>
  <c r="F78" i="6" s="1"/>
  <c r="L66" i="6" l="1"/>
  <c r="H78" i="6"/>
  <c r="J66" i="6"/>
  <c r="I78" i="6"/>
  <c r="K66" i="6" l="1"/>
  <c r="B79" i="6" l="1"/>
  <c r="E79" i="6"/>
  <c r="F79" i="6" s="1"/>
  <c r="H79" i="6" l="1"/>
  <c r="L67" i="6"/>
  <c r="J67" i="6"/>
  <c r="I79" i="6"/>
  <c r="K67" i="6" l="1"/>
  <c r="E80" i="6"/>
  <c r="F80" i="6" s="1"/>
  <c r="B80" i="6" l="1"/>
  <c r="H80" i="6"/>
  <c r="L68" i="6" l="1"/>
  <c r="H22" i="8" s="1"/>
  <c r="J22" i="8" s="1"/>
  <c r="J68" i="6"/>
  <c r="H21" i="8" s="1"/>
  <c r="J21" i="8" s="1"/>
  <c r="I80" i="6"/>
  <c r="K68" i="6" l="1"/>
  <c r="H23" i="8" s="1"/>
  <c r="J23" i="8" s="1"/>
  <c r="B81" i="6" l="1"/>
  <c r="E81" i="6"/>
  <c r="F81" i="6" s="1"/>
  <c r="H81" i="6" l="1"/>
  <c r="L69" i="6"/>
  <c r="J69" i="6"/>
  <c r="I81" i="6"/>
  <c r="K69" i="6" l="1"/>
  <c r="B82" i="6" l="1"/>
  <c r="E82" i="6"/>
  <c r="F82" i="6" s="1"/>
  <c r="H82" i="6" l="1"/>
  <c r="L70" i="6"/>
  <c r="J70" i="6"/>
  <c r="I82" i="6"/>
  <c r="K70" i="6" l="1"/>
  <c r="B83" i="6" l="1"/>
  <c r="E83" i="6"/>
  <c r="F83" i="6" s="1"/>
  <c r="H83" i="6" l="1"/>
  <c r="L71" i="6"/>
  <c r="J71" i="6"/>
  <c r="I83" i="6"/>
  <c r="K71" i="6" l="1"/>
  <c r="B84" i="6" l="1"/>
  <c r="E84" i="6"/>
  <c r="F84" i="6" s="1"/>
  <c r="H84" i="6" l="1"/>
  <c r="L72" i="6"/>
  <c r="J72" i="6"/>
  <c r="I84" i="6"/>
  <c r="K72" i="6" l="1"/>
  <c r="B85" i="6" l="1"/>
  <c r="E85" i="6"/>
  <c r="F85" i="6" s="1"/>
  <c r="H85" i="6" l="1"/>
  <c r="L73" i="6"/>
  <c r="J73" i="6"/>
  <c r="I85" i="6"/>
  <c r="K73" i="6" l="1"/>
  <c r="B86" i="6" l="1"/>
  <c r="E86" i="6"/>
  <c r="F86" i="6" s="1"/>
  <c r="H86" i="6" l="1"/>
  <c r="J74" i="6"/>
  <c r="I86" i="6"/>
  <c r="L74" i="6" l="1"/>
  <c r="K74" i="6"/>
  <c r="B87" i="6" l="1"/>
  <c r="E87" i="6"/>
  <c r="F87" i="6" s="1"/>
  <c r="H87" i="6" l="1"/>
  <c r="L75" i="6"/>
  <c r="J75" i="6"/>
  <c r="I87" i="6"/>
  <c r="K75" i="6" l="1"/>
  <c r="B88" i="6" l="1"/>
  <c r="E88" i="6"/>
  <c r="F88" i="6" s="1"/>
  <c r="H88" i="6" l="1"/>
  <c r="L76" i="6"/>
  <c r="J76" i="6"/>
  <c r="I88" i="6"/>
  <c r="K76" i="6" l="1"/>
  <c r="B89" i="6" l="1"/>
  <c r="E89" i="6"/>
  <c r="F89" i="6" s="1"/>
  <c r="H89" i="6" l="1"/>
  <c r="L77" i="6"/>
  <c r="J77" i="6"/>
  <c r="I89" i="6"/>
  <c r="K77" i="6" l="1"/>
  <c r="B90" i="6" l="1"/>
  <c r="E90" i="6"/>
  <c r="F90" i="6" s="1"/>
  <c r="H90" i="6" l="1"/>
  <c r="L78" i="6"/>
  <c r="J78" i="6"/>
  <c r="I90" i="6"/>
  <c r="K78" i="6" l="1"/>
  <c r="B91" i="6" l="1"/>
  <c r="E91" i="6"/>
  <c r="F91" i="6" s="1"/>
  <c r="H91" i="6" l="1"/>
  <c r="J79" i="6"/>
  <c r="I91" i="6"/>
  <c r="L79" i="6" l="1"/>
  <c r="K79" i="6"/>
  <c r="B92" i="6" l="1"/>
  <c r="E92" i="6"/>
  <c r="F92" i="6" s="1"/>
  <c r="H92" i="6" l="1"/>
  <c r="L80" i="6"/>
  <c r="J80" i="6"/>
  <c r="I92" i="6"/>
  <c r="K80" i="6" l="1"/>
  <c r="B93" i="6" l="1"/>
  <c r="E93" i="6"/>
  <c r="F93" i="6" s="1"/>
  <c r="H93" i="6" l="1"/>
  <c r="J81" i="6"/>
  <c r="I93" i="6"/>
  <c r="L81" i="6" l="1"/>
  <c r="K81" i="6"/>
  <c r="B94" i="6" l="1"/>
  <c r="E94" i="6"/>
  <c r="F94" i="6" s="1"/>
  <c r="H94" i="6" l="1"/>
  <c r="L82" i="6"/>
  <c r="J82" i="6"/>
  <c r="I94" i="6"/>
  <c r="K82" i="6" l="1"/>
  <c r="B95" i="6" l="1"/>
  <c r="E95" i="6"/>
  <c r="F95" i="6" s="1"/>
  <c r="H95" i="6" l="1"/>
  <c r="L83" i="6"/>
  <c r="J83" i="6"/>
  <c r="I95" i="6"/>
  <c r="K83" i="6" l="1"/>
  <c r="B96" i="6" l="1"/>
  <c r="E96" i="6"/>
  <c r="F96" i="6" s="1"/>
  <c r="H96" i="6" l="1"/>
  <c r="L84" i="6"/>
  <c r="J84" i="6"/>
  <c r="I96" i="6"/>
  <c r="K84" i="6" l="1"/>
  <c r="B97" i="6" l="1"/>
  <c r="E97" i="6"/>
  <c r="F97" i="6" s="1"/>
  <c r="H97" i="6" l="1"/>
  <c r="J85" i="6"/>
  <c r="I97" i="6"/>
  <c r="L85" i="6" l="1"/>
  <c r="K85" i="6"/>
  <c r="B98" i="6" l="1"/>
  <c r="E98" i="6"/>
  <c r="F98" i="6" s="1"/>
  <c r="H98" i="6" l="1"/>
  <c r="L86" i="6"/>
  <c r="J86" i="6"/>
  <c r="I98" i="6"/>
  <c r="K86" i="6" l="1"/>
  <c r="B99" i="6" l="1"/>
  <c r="E99" i="6"/>
  <c r="F99" i="6" s="1"/>
  <c r="H99" i="6" l="1"/>
  <c r="L87" i="6"/>
  <c r="J87" i="6"/>
  <c r="I99" i="6"/>
  <c r="K87" i="6" l="1"/>
  <c r="B100" i="6" l="1"/>
  <c r="E100" i="6"/>
  <c r="F100" i="6" s="1"/>
  <c r="H100" i="6" l="1"/>
  <c r="L88" i="6"/>
  <c r="J88" i="6"/>
  <c r="I100" i="6"/>
  <c r="K88" i="6" l="1"/>
  <c r="B101" i="6" l="1"/>
  <c r="E101" i="6"/>
  <c r="F101" i="6" s="1"/>
  <c r="H101" i="6" l="1"/>
  <c r="L89" i="6"/>
  <c r="J89" i="6"/>
  <c r="I101" i="6"/>
  <c r="K89" i="6" l="1"/>
  <c r="B102" i="6" l="1"/>
  <c r="E102" i="6"/>
  <c r="F102" i="6" s="1"/>
  <c r="H102" i="6" l="1"/>
  <c r="L90" i="6"/>
  <c r="J90" i="6"/>
  <c r="I102" i="6"/>
  <c r="K90" i="6" l="1"/>
  <c r="B103" i="6" l="1"/>
  <c r="E103" i="6"/>
  <c r="F103" i="6" s="1"/>
  <c r="H103" i="6" l="1"/>
  <c r="L91" i="6"/>
  <c r="J91" i="6"/>
  <c r="I103" i="6"/>
  <c r="K91" i="6" l="1"/>
  <c r="B104" i="6" l="1"/>
  <c r="E104" i="6"/>
  <c r="F104" i="6" s="1"/>
  <c r="H104" i="6" l="1"/>
  <c r="L92" i="6"/>
  <c r="J92" i="6"/>
  <c r="I104" i="6"/>
  <c r="K92" i="6" l="1"/>
  <c r="B105" i="6" l="1"/>
  <c r="E105" i="6"/>
  <c r="F105" i="6" s="1"/>
  <c r="H105" i="6" l="1"/>
  <c r="J93" i="6"/>
  <c r="I105" i="6"/>
  <c r="L93" i="6" l="1"/>
  <c r="K93" i="6"/>
  <c r="B106" i="6" l="1"/>
  <c r="H106" i="6"/>
  <c r="E107" i="6" s="1"/>
  <c r="F107" i="6" s="1"/>
  <c r="M94" i="6" s="1"/>
  <c r="E106" i="6"/>
  <c r="F106" i="6" s="1"/>
  <c r="L94" i="6" l="1"/>
  <c r="J94" i="6"/>
  <c r="I106" i="6"/>
  <c r="K94" i="6" l="1"/>
  <c r="B107" i="6" l="1"/>
  <c r="M6" i="6" s="1" a="1"/>
  <c r="M6" i="6" s="1"/>
  <c r="N13" i="6" l="1"/>
  <c r="M33" i="8" s="1"/>
  <c r="O33" i="8" s="1"/>
  <c r="O13" i="6"/>
  <c r="M38" i="8" s="1"/>
  <c r="O38" i="8" s="1"/>
  <c r="O12" i="6"/>
  <c r="H38" i="8" s="1"/>
  <c r="J38" i="8" s="1"/>
  <c r="N12" i="6"/>
  <c r="H33" i="8" s="1"/>
  <c r="J33" i="8" s="1"/>
  <c r="G108" i="6"/>
  <c r="J95" i="6"/>
  <c r="K95" i="6" s="1"/>
  <c r="J96" i="6"/>
  <c r="K96" i="6" s="1"/>
  <c r="J97" i="6"/>
  <c r="K97" i="6" s="1"/>
  <c r="J98" i="6"/>
  <c r="K98" i="6" s="1"/>
  <c r="J99" i="6"/>
  <c r="K99" i="6" s="1"/>
  <c r="J100" i="6"/>
  <c r="K100" i="6" s="1"/>
  <c r="J101" i="6"/>
  <c r="K101" i="6" s="1"/>
  <c r="J105" i="6"/>
  <c r="K105" i="6" s="1"/>
  <c r="J102" i="6"/>
  <c r="K102" i="6" s="1"/>
  <c r="J104" i="6"/>
  <c r="K104" i="6" s="1"/>
  <c r="J103" i="6"/>
  <c r="K103" i="6" s="1"/>
  <c r="J106" i="6"/>
  <c r="I107" i="6"/>
  <c r="N11" i="6"/>
  <c r="C33" i="8" s="1"/>
  <c r="E33" i="8" s="1"/>
  <c r="O9" i="6"/>
  <c r="H25" i="8" s="1"/>
  <c r="J25" i="8" s="1"/>
  <c r="O8" i="6"/>
  <c r="C25" i="8" s="1"/>
  <c r="E25" i="8" s="1"/>
  <c r="N9" i="6"/>
  <c r="H20" i="8" s="1"/>
  <c r="J20" i="8" s="1"/>
  <c r="O7" i="6"/>
  <c r="M11" i="8" s="1"/>
  <c r="O11" i="8" s="1"/>
  <c r="O10" i="6"/>
  <c r="M25" i="8" s="1"/>
  <c r="O25" i="8" s="1"/>
  <c r="N10" i="6"/>
  <c r="M20" i="8" s="1"/>
  <c r="O20" i="8" s="1"/>
  <c r="N8" i="6"/>
  <c r="C20" i="8" s="1"/>
  <c r="E20" i="8" s="1"/>
  <c r="O11" i="6"/>
  <c r="C38" i="8" s="1"/>
  <c r="E38" i="8" s="1"/>
  <c r="N7" i="6"/>
  <c r="M6" i="8" s="1"/>
  <c r="O6" i="8" s="1"/>
  <c r="L106" i="6"/>
  <c r="M32" i="6"/>
  <c r="M22" i="6"/>
  <c r="M45" i="6"/>
  <c r="M18" i="6"/>
  <c r="M49" i="6"/>
  <c r="M35" i="6"/>
  <c r="M29" i="6"/>
  <c r="M26" i="6"/>
  <c r="M33" i="6"/>
  <c r="M23" i="6"/>
  <c r="M48" i="6"/>
  <c r="M30" i="6"/>
  <c r="M37" i="6"/>
  <c r="M40" i="6"/>
  <c r="M24" i="6"/>
  <c r="M39" i="6"/>
  <c r="M34" i="6"/>
  <c r="M28" i="6"/>
  <c r="M25" i="6"/>
  <c r="M41" i="6"/>
  <c r="M44" i="6"/>
  <c r="M36" i="6"/>
  <c r="M21" i="6"/>
  <c r="F108" i="6"/>
  <c r="C46" i="8" s="1"/>
  <c r="M19" i="6"/>
  <c r="M42" i="6"/>
  <c r="M46" i="6"/>
  <c r="M47" i="6"/>
  <c r="M20" i="6"/>
  <c r="M43" i="6"/>
  <c r="M27" i="6"/>
  <c r="M31" i="6"/>
  <c r="M38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L95" i="6"/>
  <c r="M84" i="6"/>
  <c r="L96" i="6"/>
  <c r="M85" i="6"/>
  <c r="M86" i="6"/>
  <c r="L97" i="6"/>
  <c r="M87" i="6"/>
  <c r="L98" i="6"/>
  <c r="M88" i="6"/>
  <c r="L99" i="6"/>
  <c r="L100" i="6"/>
  <c r="M89" i="6"/>
  <c r="L105" i="6"/>
  <c r="M90" i="6"/>
  <c r="L101" i="6"/>
  <c r="M92" i="6"/>
  <c r="H37" i="8" s="1"/>
  <c r="J37" i="8" s="1"/>
  <c r="L102" i="6"/>
  <c r="M93" i="6"/>
  <c r="M91" i="6"/>
  <c r="L104" i="6"/>
  <c r="L103" i="6"/>
  <c r="H35" i="8" l="1"/>
  <c r="J35" i="8" s="1"/>
  <c r="K106" i="6"/>
  <c r="E9" i="8" s="1" a="1"/>
  <c r="E9" i="8" s="1"/>
  <c r="E8" i="8" a="1"/>
  <c r="E8" i="8" s="1"/>
  <c r="H10" i="8"/>
  <c r="J10" i="8" s="1"/>
  <c r="M10" i="8"/>
  <c r="O10" i="8" s="1"/>
  <c r="C37" i="8"/>
  <c r="E37" i="8" s="1"/>
  <c r="H24" i="8"/>
  <c r="J24" i="8" s="1"/>
  <c r="D10" i="8" a="1"/>
  <c r="D10" i="8" s="1"/>
  <c r="D11" i="8" a="1"/>
  <c r="D11" i="8" s="1"/>
  <c r="C34" i="8"/>
  <c r="E34" i="8" s="1"/>
  <c r="M34" i="8"/>
  <c r="O34" i="8" s="1"/>
  <c r="C36" i="8"/>
  <c r="E36" i="8" s="1"/>
  <c r="M37" i="8"/>
  <c r="O37" i="8" s="1"/>
  <c r="M22" i="8"/>
  <c r="O22" i="8" s="1"/>
  <c r="M23" i="8"/>
  <c r="O23" i="8" s="1"/>
  <c r="M35" i="8"/>
  <c r="O35" i="8" s="1"/>
  <c r="H34" i="8"/>
  <c r="J34" i="8" s="1"/>
  <c r="M21" i="8"/>
  <c r="O21" i="8" s="1"/>
  <c r="H36" i="8"/>
  <c r="J36" i="8" s="1"/>
  <c r="M36" i="8"/>
  <c r="O36" i="8" s="1"/>
  <c r="M24" i="8"/>
  <c r="O24" i="8" s="1"/>
  <c r="C35" i="8"/>
  <c r="E35" i="8" s="1"/>
  <c r="C24" i="8"/>
  <c r="E24" i="8" s="1"/>
  <c r="O6" i="6"/>
  <c r="N6" i="6"/>
  <c r="H6" i="8" l="1"/>
  <c r="N14" i="6"/>
  <c r="H11" i="8"/>
  <c r="O14" i="6"/>
  <c r="E12" i="8" s="1"/>
  <c r="D13" i="8" l="1"/>
  <c r="D14" i="8" s="1"/>
  <c r="E14" i="8"/>
  <c r="H13" i="8"/>
  <c r="J11" i="8"/>
  <c r="D47" i="8"/>
  <c r="E47" i="8" s="1"/>
  <c r="J6" i="8"/>
  <c r="D46" i="8"/>
  <c r="E46" i="8" s="1"/>
  <c r="D15" i="8" l="1"/>
  <c r="E15" i="8"/>
  <c r="M13" i="8"/>
  <c r="J13" i="8"/>
  <c r="J14" i="8" s="1"/>
  <c r="O13" i="8" l="1"/>
  <c r="O14" i="8" s="1"/>
  <c r="C27" i="8"/>
  <c r="H27" i="8" l="1"/>
  <c r="E27" i="8"/>
  <c r="E28" i="8" s="1"/>
  <c r="J27" i="8" l="1"/>
  <c r="J28" i="8" s="1"/>
  <c r="M27" i="8"/>
  <c r="O27" i="8" l="1"/>
  <c r="O28" i="8" s="1"/>
  <c r="C40" i="8"/>
  <c r="E40" i="8" l="1"/>
  <c r="E41" i="8" s="1"/>
  <c r="H40" i="8"/>
  <c r="J40" i="8" l="1"/>
  <c r="J41" i="8" s="1"/>
  <c r="M40" i="8"/>
  <c r="O40" i="8" s="1"/>
  <c r="O41" i="8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Accountants Desktop</author>
    <author>Dennis Coleman</author>
    <author>coleman</author>
  </authors>
  <commentList>
    <comment ref="C1" authorId="0" shapeId="0" xr:uid="{9A1B41E9-750E-41DC-97D5-5A2A2D3AEDBA}">
      <text>
        <r>
          <rPr>
            <sz val="9"/>
            <color indexed="81"/>
            <rFont val="Arial"/>
            <family val="2"/>
          </rPr>
          <t>Calculate interest, borrowing costs and EOFY balances on HP with regular monthly payments.</t>
        </r>
      </text>
    </comment>
    <comment ref="I5" authorId="0" shapeId="0" xr:uid="{00000000-0006-0000-0000-000001000000}">
      <text>
        <r>
          <rPr>
            <sz val="9"/>
            <color indexed="81"/>
            <rFont val="Arial"/>
            <family val="2"/>
          </rPr>
          <t>This amount will generally be the total amount repayable over the term of the loan less term charges/interest.</t>
        </r>
      </text>
    </comment>
    <comment ref="A8" authorId="1" shapeId="0" xr:uid="{CC39B6F0-076C-48F3-934A-164A1553DA7B}">
      <text>
        <r>
          <rPr>
            <sz val="9"/>
            <color indexed="81"/>
            <rFont val="Arial"/>
            <family val="2"/>
          </rPr>
          <t>Formulas referencing these cells for one month from commencement also include amounts where first payment selection is "Please Select".</t>
        </r>
      </text>
    </comment>
    <comment ref="I9" authorId="2" shapeId="0" xr:uid="{00000000-0006-0000-0000-000002000000}">
      <text>
        <r>
          <rPr>
            <sz val="9"/>
            <color indexed="81"/>
            <rFont val="Arial"/>
            <family val="2"/>
          </rPr>
          <t>Record here the amount of up-front borrowing expenses, if any, included with the first payment.  This amount should not be included with the regular monthly payments figure above.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<sst xmlns="http://schemas.openxmlformats.org/spreadsheetml/2006/main" count="203" uniqueCount="108">
  <si>
    <t>Lender</t>
  </si>
  <si>
    <t>Amount Borrowed</t>
  </si>
  <si>
    <t>Liability</t>
  </si>
  <si>
    <t>Unexpired Interest</t>
  </si>
  <si>
    <t>Interest Rate/Month</t>
  </si>
  <si>
    <t>First Payment</t>
  </si>
  <si>
    <t>Date Commenced</t>
  </si>
  <si>
    <t>Amortisation</t>
  </si>
  <si>
    <t>TOTALS</t>
  </si>
  <si>
    <t>Totals</t>
  </si>
  <si>
    <t>Client Name</t>
  </si>
  <si>
    <t>Preparer Name</t>
  </si>
  <si>
    <t>Effective Annual Rate</t>
  </si>
  <si>
    <t>Borrowing Expenses for Write-Off</t>
  </si>
  <si>
    <t>Borrowing Expenses Max Period</t>
  </si>
  <si>
    <t>Hire Purchase Journal Worksheet</t>
  </si>
  <si>
    <t>Current liability</t>
  </si>
  <si>
    <t>Unexpired current interest</t>
  </si>
  <si>
    <t>Non-current liability</t>
  </si>
  <si>
    <t>Unexpired non-current interest</t>
  </si>
  <si>
    <t>Schedule</t>
  </si>
  <si>
    <t>Ledger</t>
  </si>
  <si>
    <t>Journal</t>
  </si>
  <si>
    <t>Borrowing costs amortised</t>
  </si>
  <si>
    <t xml:space="preserve">Borrowing costs </t>
  </si>
  <si>
    <t>Borrowing costs written off</t>
  </si>
  <si>
    <t>Borrowing Costs</t>
  </si>
  <si>
    <t>Hire purchase charges amortised</t>
  </si>
  <si>
    <t>ℹ</t>
  </si>
  <si>
    <t>Describe where to post any unreconciled balance</t>
  </si>
  <si>
    <t>Annual Summary</t>
  </si>
  <si>
    <t>Journals</t>
  </si>
  <si>
    <t>Variance</t>
  </si>
  <si>
    <t>Hire purchase charges</t>
  </si>
  <si>
    <t>Borrowing costs</t>
  </si>
  <si>
    <t>Regular Monthly Repayments</t>
  </si>
  <si>
    <t>Hire Purchase Schedule</t>
  </si>
  <si>
    <r>
      <t xml:space="preserve">Full Reconciliation  </t>
    </r>
    <r>
      <rPr>
        <sz val="8"/>
        <rFont val="Arial"/>
        <family val="2"/>
      </rPr>
      <t>(all years)</t>
    </r>
  </si>
  <si>
    <t>Dr</t>
  </si>
  <si>
    <t>Cr</t>
  </si>
  <si>
    <t>Current</t>
  </si>
  <si>
    <t>Non-current</t>
  </si>
  <si>
    <t>Unexpired interest</t>
  </si>
  <si>
    <t>Unexpired borrowing costs</t>
  </si>
  <si>
    <r>
      <t xml:space="preserve">Deposit amount and source   </t>
    </r>
    <r>
      <rPr>
        <sz val="8"/>
        <color theme="0" tint="-0.499984740745262"/>
        <rFont val="Arial"/>
        <family val="2"/>
      </rPr>
      <t>(if applicable)</t>
    </r>
  </si>
  <si>
    <t>Loan Details</t>
  </si>
  <si>
    <t>Year commence (for journals)</t>
  </si>
  <si>
    <t>There was an update to this first version in Financial Calcs</t>
  </si>
  <si>
    <t>It fixed an error in picking up bals for the Journal sheet</t>
  </si>
  <si>
    <t>It was done one day after worksheet published.</t>
  </si>
  <si>
    <t>So didn't create a new version number</t>
  </si>
  <si>
    <t>Version 1 Update</t>
  </si>
  <si>
    <t>Version 2 Update</t>
  </si>
  <si>
    <t>Added email button and hyperlinks</t>
  </si>
  <si>
    <t>Version 3 Update</t>
  </si>
  <si>
    <t>Helper</t>
  </si>
  <si>
    <t>Column</t>
  </si>
  <si>
    <t>Settings (no rolling forward)</t>
  </si>
  <si>
    <t>Asset</t>
  </si>
  <si>
    <r>
      <t xml:space="preserve">Fin Year
</t>
    </r>
    <r>
      <rPr>
        <sz val="9"/>
        <color theme="2" tint="-0.749992370372631"/>
        <rFont val="Wingdings"/>
        <charset val="2"/>
      </rPr>
      <t>ê</t>
    </r>
  </si>
  <si>
    <t>Total Months</t>
  </si>
  <si>
    <r>
      <t xml:space="preserve">Printing
</t>
    </r>
    <r>
      <rPr>
        <b/>
        <sz val="9"/>
        <color theme="2" tint="-0.749992370372631"/>
        <rFont val="Wingdings"/>
        <charset val="2"/>
      </rPr>
      <t>ê</t>
    </r>
  </si>
  <si>
    <t>Last Payment</t>
  </si>
  <si>
    <t>Regular Monthly Payments ($)</t>
  </si>
  <si>
    <t>Balloon Payment ($)</t>
  </si>
  <si>
    <t>Note re calculation.</t>
  </si>
  <si>
    <t>There is no interest calculated where -</t>
  </si>
  <si>
    <t>1.  There is a balloon; and</t>
  </si>
  <si>
    <t>2. The period starts 1 month from commencment</t>
  </si>
  <si>
    <t>Number of Regular Payments</t>
  </si>
  <si>
    <t>Complete re-write of all formulas</t>
  </si>
  <si>
    <t>Journal Worksheet</t>
  </si>
  <si>
    <t>Use the Journal Worksheet to quickly calculate the journals required to update your general ledger with the acquisition and EOFY balances each year.</t>
  </si>
  <si>
    <t>On Commencement</t>
  </si>
  <si>
    <t>One Month From Commencement</t>
  </si>
  <si>
    <t>Borrowing Expenses</t>
  </si>
  <si>
    <t>2nd month</t>
  </si>
  <si>
    <t>3rd month</t>
  </si>
  <si>
    <t>1st month</t>
  </si>
  <si>
    <t>Formula in N21 differs to those below</t>
  </si>
  <si>
    <t>Added extra column to schedule for unclaimed borrowing expenses balance</t>
  </si>
  <si>
    <t>Please Select</t>
  </si>
  <si>
    <t>Version 4 Update</t>
  </si>
  <si>
    <t>Updated banner</t>
  </si>
  <si>
    <t>Sundry formatting changes.  Table headers and number displays.</t>
  </si>
  <si>
    <t>YEAR</t>
  </si>
  <si>
    <t>INTEREST</t>
  </si>
  <si>
    <t>BORROWING</t>
  </si>
  <si>
    <t>MONTH</t>
  </si>
  <si>
    <t>OPENING
BALANCE</t>
  </si>
  <si>
    <t>ADD
INTEREST</t>
  </si>
  <si>
    <t>LESS
REPAYMENTS</t>
  </si>
  <si>
    <t>CLOSING
BALANCE</t>
  </si>
  <si>
    <t>ACCOUNT
BALANCE</t>
  </si>
  <si>
    <t>CURRENT
LIABILITY</t>
  </si>
  <si>
    <t>NON-CURRENT
LIABILITY</t>
  </si>
  <si>
    <t>CURRENT
UNEXPIRED INT</t>
  </si>
  <si>
    <t>NON-CURRENT
UNEXPIRED INT</t>
  </si>
  <si>
    <t>DEDUCTIBLE
EXPENSE</t>
  </si>
  <si>
    <t>UNCLAIMED
BALANCE</t>
  </si>
  <si>
    <t>If changes made, update sample for visitors</t>
  </si>
  <si>
    <t>Version 5 Update</t>
  </si>
  <si>
    <t>It ignored payments commencing in June and therefore skipped a year.</t>
  </si>
  <si>
    <t xml:space="preserve">Formula was - </t>
  </si>
  <si>
    <t>The formula for year commence (used in journals) was incorrect.</t>
  </si>
  <si>
    <t>=EOMONTH(IF(MONTH(DateCommence) &lt; 6, DATE(YEAR(DateCommence), 6, 1), DATE(YEAR(DateCommence) + 1, 6, 1)), 0)</t>
  </si>
  <si>
    <r>
      <t>=EOMONTH(IF(MONTH(DateCommence) &lt;</t>
    </r>
    <r>
      <rPr>
        <sz val="9"/>
        <color rgb="FFFF0000"/>
        <rFont val="Arial"/>
        <family val="2"/>
      </rPr>
      <t>=</t>
    </r>
    <r>
      <rPr>
        <sz val="9"/>
        <color theme="1"/>
        <rFont val="Arial"/>
        <family val="2"/>
      </rPr>
      <t xml:space="preserve"> 6, DATE(YEAR(DateCommence), 6, 1), DATE(YEAR(DateCommence) + 1, 6, 1)), 0)</t>
    </r>
  </si>
  <si>
    <t>Corrected to(added equals sign in red)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</si>
</sst>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164" formatCode="&quot;$&quot;#,##0_);[Red]\(&quot;$&quot;#,##0\)"/>
    <numFmt numFmtId="165" formatCode="&quot;$&quot;#,##0.00_);[Red]\(&quot;$&quot;#,##0.00\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0_);[Red]\(0\)"/>
    <numFmt numFmtId="169" formatCode="#,##0.00;[Red]#,##0.00"/>
    <numFmt numFmtId="170" formatCode="#,##0_);[Red]\-#,##0_)"/>
    <numFmt numFmtId="171" formatCode="#,##0.00_);[Red]\-#,##0.00_)"/>
    <numFmt numFmtId="172" formatCode="&quot;$&quot;#,##0_);[Red]\-&quot;$&quot;#,##0_)"/>
    <numFmt numFmtId="173" formatCode="&quot;$&quot;#,##0.00_);[Red]\-&quot;$&quot;#,##0.00_)"/>
    <numFmt numFmtId="174" formatCode="_(* #,##0_);_(* \(#,##0\);_(* &quot;-&quot;??_);_(@_)"/>
    <numFmt numFmtId="175" formatCode="&quot;$&quot;#,##0.00"/>
    <numFmt numFmtId="176" formatCode="[$-C09]dd\-mmm\-yy;@"/>
    <numFmt numFmtId="177" formatCode="d/mm/yyyy;@"/>
  </numFmts>
  <fonts count="46" x14ac:knownFonts="1"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u/>
      <sz val="9"/>
      <color theme="10"/>
      <name val="Arial"/>
      <family val="2"/>
    </font>
    <font>
      <b/>
      <sz val="9"/>
      <color theme="0"/>
      <name val="Arial"/>
      <family val="2"/>
    </font>
    <font>
      <b/>
      <sz val="9"/>
      <color theme="2" tint="-0.749992370372631"/>
      <name val="Arial"/>
      <family val="2"/>
    </font>
    <font>
      <sz val="9"/>
      <color theme="2" tint="-0.749992370372631"/>
      <name val="Arial"/>
      <family val="2"/>
    </font>
    <font>
      <b/>
      <sz val="8"/>
      <color theme="2" tint="-0.749992370372631"/>
      <name val="Arial"/>
      <family val="2"/>
    </font>
    <font>
      <sz val="8"/>
      <color theme="2" tint="-0.749992370372631"/>
      <name val="Arial"/>
      <family val="2"/>
    </font>
    <font>
      <b/>
      <sz val="8"/>
      <color theme="2" tint="-0.749992370372631"/>
      <name val="Arial Narrow"/>
      <family val="2"/>
    </font>
    <font>
      <sz val="9"/>
      <color theme="2" tint="-0.749961851863155"/>
      <name val="Arial"/>
      <family val="2"/>
    </font>
    <font>
      <b/>
      <sz val="11"/>
      <color theme="0"/>
      <name val="Arial"/>
      <family val="2"/>
    </font>
    <font>
      <b/>
      <sz val="9"/>
      <color theme="2" tint="-0.749961851863155"/>
      <name val="Arial"/>
      <family val="2"/>
    </font>
    <font>
      <u/>
      <sz val="9"/>
      <color theme="11"/>
      <name val="Arial"/>
      <family val="2"/>
    </font>
    <font>
      <b/>
      <sz val="11"/>
      <color theme="4" tint="-0.499984740745262"/>
      <name val="Arial"/>
      <family val="2"/>
    </font>
    <font>
      <b/>
      <sz val="11"/>
      <color theme="3" tint="-0.24994659260841701"/>
      <name val="Arial"/>
      <family val="2"/>
    </font>
    <font>
      <sz val="9"/>
      <color theme="0"/>
      <name val="Arial"/>
      <family val="2"/>
    </font>
    <font>
      <b/>
      <sz val="9"/>
      <color theme="1"/>
      <name val="Arial"/>
      <family val="2"/>
    </font>
    <font>
      <b/>
      <sz val="12"/>
      <color theme="0"/>
      <name val="Arial Narrow"/>
      <family val="2"/>
    </font>
    <font>
      <b/>
      <sz val="12"/>
      <color theme="0" tint="-0.14999847407452621"/>
      <name val="Arial Narrow"/>
      <family val="2"/>
    </font>
    <font>
      <b/>
      <sz val="9"/>
      <name val="Arial"/>
      <family val="2"/>
    </font>
    <font>
      <b/>
      <sz val="10"/>
      <color theme="1"/>
      <name val="Arial Narrow"/>
      <family val="2"/>
    </font>
    <font>
      <sz val="9"/>
      <color theme="1"/>
      <name val="Arial"/>
      <family val="2"/>
    </font>
    <font>
      <sz val="11"/>
      <color theme="4"/>
      <name val="Times New Roman"/>
      <family val="1"/>
    </font>
    <font>
      <b/>
      <u val="singleAccounting"/>
      <sz val="9"/>
      <color theme="4" tint="-0.24994659260841701"/>
      <name val="Arial Black"/>
      <family val="2"/>
    </font>
    <font>
      <sz val="9"/>
      <color indexed="81"/>
      <name val="Arial"/>
      <family val="2"/>
    </font>
    <font>
      <sz val="8"/>
      <color rgb="FFFF0000"/>
      <name val="Arial"/>
      <family val="2"/>
    </font>
    <font>
      <b/>
      <sz val="11"/>
      <color theme="2" tint="-0.749992370372631"/>
      <name val="Arial"/>
      <family val="2"/>
    </font>
    <font>
      <b/>
      <sz val="10"/>
      <color theme="2" tint="-0.749992370372631"/>
      <name val="Arial Narrow"/>
      <family val="2"/>
    </font>
    <font>
      <b/>
      <sz val="13"/>
      <color theme="3"/>
      <name val="Arial"/>
      <family val="2"/>
    </font>
    <font>
      <b/>
      <u val="singleAccounting"/>
      <sz val="10"/>
      <color theme="4" tint="-0.24994659260841701"/>
      <name val="Arial Black"/>
      <family val="2"/>
    </font>
    <font>
      <sz val="8"/>
      <name val="Arial"/>
      <family val="2"/>
    </font>
    <font>
      <sz val="8"/>
      <color theme="1"/>
      <name val="Arial"/>
      <family val="2"/>
    </font>
    <font>
      <sz val="8"/>
      <color theme="0" tint="-0.499984740745262"/>
      <name val="Arial"/>
      <family val="2"/>
    </font>
    <font>
      <u/>
      <sz val="9"/>
      <color theme="1"/>
      <name val="Arial"/>
      <family val="2"/>
    </font>
    <font>
      <sz val="9"/>
      <name val="Arial"/>
      <family val="2"/>
    </font>
    <font>
      <b/>
      <sz val="10"/>
      <color theme="0"/>
      <name val="Arial"/>
      <family val="2"/>
    </font>
    <font>
      <b/>
      <sz val="14"/>
      <name val="Arial"/>
      <family val="2"/>
    </font>
    <font>
      <b/>
      <sz val="10"/>
      <color theme="4" tint="-0.24994659260841701"/>
      <name val="Arial Black"/>
      <family val="2"/>
    </font>
    <font>
      <sz val="9"/>
      <color theme="2" tint="-0.749992370372631"/>
      <name val="Wingdings"/>
      <charset val="2"/>
    </font>
    <font>
      <b/>
      <sz val="9"/>
      <color theme="2" tint="-0.749992370372631"/>
      <name val="Wingdings"/>
      <charset val="2"/>
    </font>
    <font>
      <b/>
      <sz val="9"/>
      <color theme="4" tint="-0.249977111117893"/>
      <name val="Arial"/>
      <family val="2"/>
    </font>
    <font>
      <b/>
      <sz val="9"/>
      <color theme="2" tint="-0.749992370372631"/>
      <name val="Arial Narrow"/>
      <family val="2"/>
    </font>
    <font>
      <sz val="10"/>
      <color rgb="FFFF0000"/>
      <name val="Arial Narrow"/>
      <family val="2"/>
    </font>
    <font>
      <sz val="10"/>
      <color theme="2" tint="-0.749992370372631"/>
      <name val="Arial"/>
      <family val="2"/>
    </font>
    <font>
      <b/>
      <sz val="8"/>
      <color theme="1"/>
      <name val="Arial Narrow"/>
      <family val="2"/>
    </font>
    <font>
      <sz val="9"/>
      <color rgb="FFFF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mediumGray">
        <fgColor theme="0"/>
        <bgColor rgb="FFFFFF00"/>
      </patternFill>
    </fill>
    <fill>
      <patternFill patternType="solid">
        <fgColor theme="4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auto="1"/>
      </patternFill>
    </fill>
    <fill>
      <patternFill patternType="solid">
        <fgColor rgb="FFFF0000"/>
        <bgColor indexed="64"/>
      </patternFill>
    </fill>
    <fill>
      <patternFill patternType="mediumGray">
        <fgColor theme="0"/>
        <bgColor theme="0" tint="-4.9989318521683403E-2"/>
      </patternFill>
    </fill>
    <fill>
      <patternFill patternType="solid">
        <fgColor rgb="FFFFFFCC"/>
      </patternFill>
    </fill>
    <fill>
      <patternFill patternType="solid">
        <fgColor theme="8" tint="0.79998168889431442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ECF4FA"/>
        <bgColor indexed="64"/>
      </patternFill>
    </fill>
    <fill>
      <patternFill patternType="mediumGray">
        <fgColor theme="0"/>
        <bgColor rgb="FFFFFFCD"/>
      </patternFill>
    </fill>
  </fills>
  <borders count="7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/>
      <right/>
      <top/>
      <bottom style="medium">
        <color theme="4" tint="-0.499984740745262"/>
      </bottom>
      <diagonal/>
    </border>
    <border>
      <left/>
      <right/>
      <top/>
      <bottom style="medium">
        <color theme="3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/>
      <right/>
      <top style="thin">
        <color theme="4"/>
      </top>
      <bottom style="hair">
        <color theme="4"/>
      </bottom>
      <diagonal/>
    </border>
    <border>
      <left/>
      <right/>
      <top style="hair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hair">
        <color theme="0" tint="-0.24994659260841701"/>
      </right>
      <top style="thin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thin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hair">
        <color theme="0" tint="-0.24994659260841701"/>
      </right>
      <top style="hair">
        <color theme="0" tint="-0.24994659260841701"/>
      </top>
      <bottom/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/>
      <diagonal/>
    </border>
    <border>
      <left style="hair">
        <color theme="0" tint="-0.24994659260841701"/>
      </left>
      <right style="thin">
        <color theme="0" tint="-0.24994659260841701"/>
      </right>
      <top style="hair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theme="0" tint="-0.24994659260841701"/>
      </left>
      <right style="hair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/>
      <top style="hair">
        <color theme="0" tint="-0.24994659260841701"/>
      </top>
      <bottom style="thin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thin">
        <color theme="0" tint="-0.24994659260841701"/>
      </bottom>
      <diagonal/>
    </border>
    <border>
      <left style="hair">
        <color theme="0" tint="-0.24994659260841701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/>
      <top style="hair">
        <color theme="0" tint="-0.24994659260841701"/>
      </top>
      <bottom style="thin">
        <color theme="0" tint="-0.24994659260841701"/>
      </bottom>
      <diagonal/>
    </border>
    <border>
      <left style="hair">
        <color theme="0" tint="-0.24994659260841701"/>
      </left>
      <right/>
      <top style="hair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hair">
        <color theme="0" tint="-0.24994659260841701"/>
      </bottom>
      <diagonal/>
    </border>
    <border>
      <left style="thin">
        <color theme="0" tint="-0.24994659260841701"/>
      </left>
      <right style="hair">
        <color theme="0" tint="-0.24994659260841701"/>
      </right>
      <top/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/>
      <bottom style="hair">
        <color theme="0" tint="-0.24994659260841701"/>
      </bottom>
      <diagonal/>
    </border>
    <border>
      <left style="hair">
        <color theme="0" tint="-0.24994659260841701"/>
      </left>
      <right/>
      <top/>
      <bottom style="hair">
        <color theme="0" tint="-0.24994659260841701"/>
      </bottom>
      <diagonal/>
    </border>
    <border>
      <left style="hair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 style="hair">
        <color theme="0" tint="-0.24994659260841701"/>
      </bottom>
      <diagonal/>
    </border>
    <border>
      <left/>
      <right/>
      <top style="hair">
        <color theme="0" tint="-0.24994659260841701"/>
      </top>
      <bottom/>
      <diagonal/>
    </border>
    <border>
      <left style="thin">
        <color theme="0" tint="-0.24994659260841701"/>
      </left>
      <right/>
      <top style="hair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hair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hair">
        <color theme="0" tint="-0.24994659260841701"/>
      </bottom>
      <diagonal/>
    </border>
    <border>
      <left/>
      <right style="thin">
        <color theme="0" tint="-0.24994659260841701"/>
      </right>
      <top style="hair">
        <color theme="0" tint="-0.24994659260841701"/>
      </top>
      <bottom style="thin">
        <color theme="0" tint="-0.24994659260841701"/>
      </bottom>
      <diagonal/>
    </border>
    <border>
      <left style="hair">
        <color theme="0" tint="-0.24994659260841701"/>
      </left>
      <right/>
      <top style="thin">
        <color theme="0" tint="-0.24994659260841701"/>
      </top>
      <bottom style="hair">
        <color theme="0" tint="-0.24994659260841701"/>
      </bottom>
      <diagonal/>
    </border>
    <border>
      <left/>
      <right/>
      <top style="hair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/>
      <right/>
      <top style="thin">
        <color theme="0" tint="-0.24994659260841701"/>
      </top>
      <bottom/>
      <diagonal/>
    </border>
    <border>
      <left style="thin">
        <color theme="0" tint="-0.24994659260841701"/>
      </left>
      <right style="hair">
        <color theme="0" tint="-0.24994659260841701"/>
      </right>
      <top style="thin">
        <color theme="0" tint="-0.24994659260841701"/>
      </top>
      <bottom/>
      <diagonal/>
    </border>
    <border>
      <left style="hair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hair">
        <color theme="0" tint="-0.24994659260841701"/>
      </left>
      <right style="thin">
        <color theme="0" tint="-0.24994659260841701"/>
      </right>
      <top/>
      <bottom style="hair">
        <color theme="0" tint="-0.24994659260841701"/>
      </bottom>
      <diagonal/>
    </border>
    <border>
      <left/>
      <right style="thin">
        <color theme="0" tint="-0.2499465926084170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theme="4"/>
      </top>
      <bottom style="thin">
        <color rgb="FFB2B2B2"/>
      </bottom>
      <diagonal/>
    </border>
    <border>
      <left/>
      <right style="thin">
        <color theme="4"/>
      </right>
      <top style="thin">
        <color theme="4"/>
      </top>
      <bottom style="hair">
        <color theme="4"/>
      </bottom>
      <diagonal/>
    </border>
    <border>
      <left/>
      <right style="thin">
        <color theme="4"/>
      </right>
      <top style="hair">
        <color theme="4"/>
      </top>
      <bottom style="thin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theme="0"/>
      </right>
      <top style="thin">
        <color theme="4"/>
      </top>
      <bottom/>
      <diagonal/>
    </border>
    <border>
      <left/>
      <right style="thin">
        <color theme="0"/>
      </right>
      <top/>
      <bottom style="thin">
        <color indexed="64"/>
      </bottom>
      <diagonal/>
    </border>
  </borders>
  <cellStyleXfs count="29">
    <xf numFmtId="0" fontId="0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9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9" fillId="2" borderId="0" applyNumberFormat="0" applyBorder="0" applyAlignment="0">
      <alignment horizontal="center"/>
      <protection hidden="1"/>
    </xf>
    <xf numFmtId="166" fontId="10" fillId="4" borderId="0">
      <alignment vertical="center"/>
      <protection hidden="1"/>
    </xf>
    <xf numFmtId="166" fontId="10" fillId="4" borderId="2">
      <alignment vertical="center"/>
      <protection hidden="1"/>
    </xf>
    <xf numFmtId="0" fontId="3" fillId="5" borderId="3">
      <alignment horizontal="center" vertical="center"/>
      <protection hidden="1"/>
    </xf>
    <xf numFmtId="167" fontId="11" fillId="6" borderId="3">
      <alignment horizontal="left" vertical="center"/>
      <protection hidden="1"/>
    </xf>
    <xf numFmtId="38" fontId="9" fillId="0" borderId="4">
      <alignment vertical="center"/>
      <protection locked="0"/>
    </xf>
    <xf numFmtId="170" fontId="9" fillId="0" borderId="4">
      <alignment vertical="center"/>
      <protection locked="0"/>
    </xf>
    <xf numFmtId="40" fontId="9" fillId="0" borderId="4">
      <protection locked="0"/>
    </xf>
    <xf numFmtId="171" fontId="9" fillId="0" borderId="4">
      <alignment vertical="center"/>
      <protection locked="0"/>
    </xf>
    <xf numFmtId="0" fontId="13" fillId="2" borderId="5">
      <alignment horizontal="center" vertical="center"/>
      <protection hidden="1"/>
    </xf>
    <xf numFmtId="167" fontId="9" fillId="7" borderId="7">
      <alignment horizontal="left" vertical="center"/>
      <protection hidden="1"/>
    </xf>
    <xf numFmtId="164" fontId="11" fillId="3" borderId="3">
      <alignment vertical="center"/>
      <protection hidden="1"/>
    </xf>
    <xf numFmtId="172" fontId="11" fillId="3" borderId="3">
      <alignment vertical="center"/>
      <protection hidden="1"/>
    </xf>
    <xf numFmtId="165" fontId="11" fillId="3" borderId="3">
      <alignment vertical="center"/>
      <protection hidden="1"/>
    </xf>
    <xf numFmtId="173" fontId="11" fillId="3" borderId="3">
      <alignment vertical="center"/>
      <protection hidden="1"/>
    </xf>
    <xf numFmtId="38" fontId="11" fillId="3" borderId="3">
      <alignment vertical="center"/>
      <protection hidden="1"/>
    </xf>
    <xf numFmtId="170" fontId="11" fillId="3" borderId="3">
      <alignment vertical="center"/>
      <protection hidden="1"/>
    </xf>
    <xf numFmtId="40" fontId="11" fillId="3" borderId="3">
      <protection hidden="1"/>
    </xf>
    <xf numFmtId="171" fontId="11" fillId="3" borderId="3">
      <alignment vertical="center"/>
      <protection hidden="1"/>
    </xf>
    <xf numFmtId="170" fontId="9" fillId="0" borderId="4">
      <alignment vertical="center"/>
      <protection locked="0"/>
    </xf>
    <xf numFmtId="0" fontId="21" fillId="10" borderId="31" applyNumberFormat="0" applyFont="0" applyAlignment="0" applyProtection="0"/>
    <xf numFmtId="0" fontId="28" fillId="0" borderId="50" applyNumberFormat="0" applyFill="0" applyAlignment="0" applyProtection="0"/>
  </cellStyleXfs>
  <cellXfs count="210">
    <xf numFmtId="0" fontId="0" fillId="0" borderId="0" xfId="0"/>
    <xf numFmtId="167" fontId="4" fillId="2" borderId="0" xfId="1" applyFont="1" applyFill="1" applyAlignment="1" applyProtection="1">
      <alignment vertical="center"/>
      <protection locked="0"/>
    </xf>
    <xf numFmtId="167" fontId="4" fillId="2" borderId="0" xfId="1" applyFont="1" applyFill="1" applyBorder="1" applyAlignment="1" applyProtection="1">
      <alignment vertical="center"/>
      <protection locked="0"/>
    </xf>
    <xf numFmtId="167" fontId="4" fillId="2" borderId="0" xfId="1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vertical="center"/>
      <protection locked="0"/>
    </xf>
    <xf numFmtId="167" fontId="5" fillId="2" borderId="0" xfId="1" applyFont="1" applyFill="1" applyBorder="1" applyAlignment="1" applyProtection="1">
      <alignment vertical="center"/>
      <protection locked="0"/>
    </xf>
    <xf numFmtId="167" fontId="5" fillId="2" borderId="0" xfId="1" applyFont="1" applyFill="1" applyAlignment="1" applyProtection="1">
      <alignment vertical="center"/>
      <protection locked="0"/>
    </xf>
    <xf numFmtId="167" fontId="5" fillId="2" borderId="0" xfId="1" applyFont="1" applyFill="1" applyAlignment="1" applyProtection="1">
      <alignment horizontal="center" vertical="center"/>
      <protection locked="0"/>
    </xf>
    <xf numFmtId="10" fontId="4" fillId="2" borderId="0" xfId="4" applyNumberFormat="1" applyFont="1" applyFill="1" applyBorder="1" applyAlignment="1" applyProtection="1">
      <alignment vertical="center"/>
      <protection locked="0"/>
    </xf>
    <xf numFmtId="0" fontId="6" fillId="2" borderId="0" xfId="1" applyNumberFormat="1" applyFont="1" applyFill="1" applyBorder="1" applyAlignment="1" applyProtection="1">
      <alignment vertical="center" wrapText="1"/>
      <protection locked="0"/>
    </xf>
    <xf numFmtId="167" fontId="8" fillId="2" borderId="0" xfId="1" applyFont="1" applyFill="1" applyAlignment="1" applyProtection="1">
      <alignment horizontal="left" vertical="center"/>
      <protection locked="0"/>
    </xf>
    <xf numFmtId="167" fontId="7" fillId="2" borderId="0" xfId="1" applyFont="1" applyFill="1" applyBorder="1" applyAlignment="1" applyProtection="1">
      <alignment vertical="center"/>
      <protection locked="0"/>
    </xf>
    <xf numFmtId="167" fontId="5" fillId="2" borderId="0" xfId="1" applyFont="1" applyFill="1" applyAlignment="1" applyProtection="1">
      <alignment vertical="center" wrapText="1"/>
      <protection locked="0"/>
    </xf>
    <xf numFmtId="167" fontId="4" fillId="2" borderId="0" xfId="1" applyFont="1" applyFill="1" applyAlignment="1" applyProtection="1">
      <alignment horizontal="right" wrapText="1"/>
      <protection locked="0"/>
    </xf>
    <xf numFmtId="40" fontId="5" fillId="2" borderId="0" xfId="1" applyNumberFormat="1" applyFont="1" applyFill="1" applyAlignment="1" applyProtection="1">
      <alignment vertical="center"/>
      <protection locked="0"/>
    </xf>
    <xf numFmtId="40" fontId="5" fillId="2" borderId="0" xfId="1" applyNumberFormat="1" applyFont="1" applyFill="1" applyAlignment="1" applyProtection="1">
      <alignment vertical="center" wrapText="1"/>
      <protection locked="0"/>
    </xf>
    <xf numFmtId="40" fontId="5" fillId="2" borderId="0" xfId="1" applyNumberFormat="1" applyFont="1" applyFill="1" applyAlignment="1" applyProtection="1">
      <alignment horizontal="right" wrapText="1"/>
      <protection locked="0"/>
    </xf>
    <xf numFmtId="40" fontId="5" fillId="2" borderId="0" xfId="1" applyNumberFormat="1" applyFont="1" applyFill="1" applyAlignment="1" applyProtection="1">
      <alignment horizontal="center" vertical="center"/>
      <protection locked="0"/>
    </xf>
    <xf numFmtId="40" fontId="0" fillId="0" borderId="0" xfId="0" applyNumberFormat="1" applyAlignment="1" applyProtection="1">
      <alignment vertical="center"/>
      <protection locked="0"/>
    </xf>
    <xf numFmtId="40" fontId="0" fillId="8" borderId="0" xfId="0" applyNumberFormat="1" applyFill="1" applyAlignment="1" applyProtection="1">
      <alignment vertical="center"/>
      <protection locked="0"/>
    </xf>
    <xf numFmtId="40" fontId="0" fillId="0" borderId="17" xfId="0" applyNumberFormat="1" applyBorder="1" applyAlignment="1" applyProtection="1">
      <alignment vertical="center"/>
      <protection locked="0"/>
    </xf>
    <xf numFmtId="40" fontId="0" fillId="0" borderId="20" xfId="0" applyNumberFormat="1" applyBorder="1" applyAlignment="1" applyProtection="1">
      <alignment vertical="center"/>
      <protection locked="0"/>
    </xf>
    <xf numFmtId="40" fontId="0" fillId="0" borderId="24" xfId="0" applyNumberFormat="1" applyBorder="1" applyAlignment="1" applyProtection="1">
      <alignment vertical="center"/>
      <protection locked="0"/>
    </xf>
    <xf numFmtId="40" fontId="20" fillId="0" borderId="29" xfId="0" applyNumberFormat="1" applyFont="1" applyBorder="1" applyAlignment="1" applyProtection="1">
      <alignment horizontal="right" vertical="center"/>
      <protection hidden="1"/>
    </xf>
    <xf numFmtId="40" fontId="20" fillId="0" borderId="30" xfId="0" applyNumberFormat="1" applyFont="1" applyBorder="1" applyAlignment="1" applyProtection="1">
      <alignment horizontal="right" vertical="center"/>
      <protection hidden="1"/>
    </xf>
    <xf numFmtId="40" fontId="0" fillId="9" borderId="16" xfId="0" applyNumberFormat="1" applyFill="1" applyBorder="1" applyAlignment="1" applyProtection="1">
      <alignment vertical="center"/>
      <protection hidden="1"/>
    </xf>
    <xf numFmtId="40" fontId="0" fillId="9" borderId="17" xfId="0" applyNumberFormat="1" applyFill="1" applyBorder="1" applyAlignment="1" applyProtection="1">
      <alignment vertical="center"/>
      <protection hidden="1"/>
    </xf>
    <xf numFmtId="40" fontId="0" fillId="9" borderId="18" xfId="0" applyNumberFormat="1" applyFill="1" applyBorder="1" applyAlignment="1" applyProtection="1">
      <alignment vertical="center"/>
      <protection hidden="1"/>
    </xf>
    <xf numFmtId="40" fontId="0" fillId="9" borderId="19" xfId="0" applyNumberFormat="1" applyFill="1" applyBorder="1" applyAlignment="1" applyProtection="1">
      <alignment vertical="center"/>
      <protection hidden="1"/>
    </xf>
    <xf numFmtId="40" fontId="0" fillId="9" borderId="20" xfId="0" applyNumberFormat="1" applyFill="1" applyBorder="1" applyAlignment="1" applyProtection="1">
      <alignment vertical="center"/>
      <protection hidden="1"/>
    </xf>
    <xf numFmtId="40" fontId="0" fillId="9" borderId="21" xfId="0" applyNumberFormat="1" applyFill="1" applyBorder="1" applyAlignment="1" applyProtection="1">
      <alignment vertical="center"/>
      <protection hidden="1"/>
    </xf>
    <xf numFmtId="40" fontId="0" fillId="9" borderId="23" xfId="0" applyNumberFormat="1" applyFill="1" applyBorder="1" applyAlignment="1" applyProtection="1">
      <alignment vertical="center"/>
      <protection hidden="1"/>
    </xf>
    <xf numFmtId="40" fontId="0" fillId="9" borderId="24" xfId="0" applyNumberFormat="1" applyFill="1" applyBorder="1" applyAlignment="1" applyProtection="1">
      <alignment vertical="center"/>
      <protection hidden="1"/>
    </xf>
    <xf numFmtId="40" fontId="0" fillId="9" borderId="25" xfId="0" applyNumberFormat="1" applyFill="1" applyBorder="1" applyAlignment="1" applyProtection="1">
      <alignment vertical="center"/>
      <protection hidden="1"/>
    </xf>
    <xf numFmtId="40" fontId="0" fillId="9" borderId="22" xfId="0" applyNumberFormat="1" applyFill="1" applyBorder="1" applyAlignment="1" applyProtection="1">
      <alignment vertical="center"/>
      <protection hidden="1"/>
    </xf>
    <xf numFmtId="40" fontId="16" fillId="3" borderId="26" xfId="0" applyNumberFormat="1" applyFont="1" applyFill="1" applyBorder="1" applyAlignment="1" applyProtection="1">
      <alignment vertical="center"/>
      <protection hidden="1"/>
    </xf>
    <xf numFmtId="38" fontId="5" fillId="2" borderId="36" xfId="1" applyNumberFormat="1" applyFont="1" applyFill="1" applyBorder="1" applyAlignment="1" applyProtection="1">
      <alignment horizontal="center" vertical="center"/>
      <protection locked="0"/>
    </xf>
    <xf numFmtId="168" fontId="4" fillId="2" borderId="0" xfId="1" applyNumberFormat="1" applyFont="1" applyFill="1" applyBorder="1" applyAlignment="1" applyProtection="1">
      <alignment horizontal="center" vertical="center"/>
      <protection hidden="1"/>
    </xf>
    <xf numFmtId="17" fontId="4" fillId="2" borderId="38" xfId="1" applyNumberFormat="1" applyFont="1" applyFill="1" applyBorder="1" applyAlignment="1" applyProtection="1">
      <alignment horizontal="center" vertical="center"/>
      <protection hidden="1"/>
    </xf>
    <xf numFmtId="169" fontId="5" fillId="2" borderId="19" xfId="1" applyNumberFormat="1" applyFont="1" applyFill="1" applyBorder="1" applyAlignment="1" applyProtection="1">
      <alignment horizontal="right" vertical="center"/>
      <protection hidden="1"/>
    </xf>
    <xf numFmtId="169" fontId="5" fillId="2" borderId="20" xfId="1" applyNumberFormat="1" applyFont="1" applyFill="1" applyBorder="1" applyAlignment="1" applyProtection="1">
      <alignment horizontal="right" vertical="center"/>
      <protection hidden="1"/>
    </xf>
    <xf numFmtId="169" fontId="5" fillId="2" borderId="41" xfId="1" applyNumberFormat="1" applyFont="1" applyFill="1" applyBorder="1" applyAlignment="1" applyProtection="1">
      <alignment horizontal="right" vertical="center"/>
      <protection hidden="1"/>
    </xf>
    <xf numFmtId="169" fontId="4" fillId="2" borderId="0" xfId="1" applyNumberFormat="1" applyFont="1" applyFill="1" applyBorder="1" applyAlignment="1" applyProtection="1">
      <alignment vertical="center"/>
      <protection locked="0"/>
    </xf>
    <xf numFmtId="169" fontId="4" fillId="2" borderId="0" xfId="1" applyNumberFormat="1" applyFont="1" applyFill="1" applyBorder="1" applyAlignment="1" applyProtection="1">
      <alignment horizontal="right" vertical="center"/>
      <protection locked="0"/>
    </xf>
    <xf numFmtId="169" fontId="5" fillId="2" borderId="19" xfId="1" applyNumberFormat="1" applyFont="1" applyFill="1" applyBorder="1" applyAlignment="1" applyProtection="1">
      <alignment vertical="center"/>
      <protection hidden="1"/>
    </xf>
    <xf numFmtId="169" fontId="5" fillId="2" borderId="22" xfId="1" applyNumberFormat="1" applyFont="1" applyFill="1" applyBorder="1" applyAlignment="1" applyProtection="1">
      <alignment vertical="center"/>
      <protection hidden="1"/>
    </xf>
    <xf numFmtId="167" fontId="4" fillId="2" borderId="0" xfId="1" applyFont="1" applyFill="1" applyBorder="1" applyAlignment="1" applyProtection="1">
      <alignment horizontal="center" vertical="center"/>
      <protection hidden="1"/>
    </xf>
    <xf numFmtId="17" fontId="4" fillId="2" borderId="45" xfId="1" applyNumberFormat="1" applyFont="1" applyFill="1" applyBorder="1" applyAlignment="1" applyProtection="1">
      <alignment horizontal="center" vertical="center"/>
      <protection hidden="1"/>
    </xf>
    <xf numFmtId="169" fontId="5" fillId="2" borderId="46" xfId="1" applyNumberFormat="1" applyFont="1" applyFill="1" applyBorder="1" applyAlignment="1" applyProtection="1">
      <alignment horizontal="right" vertical="center"/>
      <protection hidden="1"/>
    </xf>
    <xf numFmtId="169" fontId="5" fillId="2" borderId="47" xfId="1" applyNumberFormat="1" applyFont="1" applyFill="1" applyBorder="1" applyAlignment="1" applyProtection="1">
      <alignment horizontal="right" vertical="center"/>
      <protection locked="0"/>
    </xf>
    <xf numFmtId="169" fontId="5" fillId="2" borderId="47" xfId="1" applyNumberFormat="1" applyFont="1" applyFill="1" applyBorder="1" applyAlignment="1" applyProtection="1">
      <alignment horizontal="right" vertical="center"/>
      <protection hidden="1"/>
    </xf>
    <xf numFmtId="169" fontId="5" fillId="2" borderId="48" xfId="1" applyNumberFormat="1" applyFont="1" applyFill="1" applyBorder="1" applyAlignment="1" applyProtection="1">
      <alignment horizontal="right" vertical="center"/>
      <protection hidden="1"/>
    </xf>
    <xf numFmtId="40" fontId="19" fillId="11" borderId="15" xfId="0" applyNumberFormat="1" applyFont="1" applyFill="1" applyBorder="1" applyAlignment="1" applyProtection="1">
      <alignment vertical="center"/>
      <protection hidden="1"/>
    </xf>
    <xf numFmtId="40" fontId="0" fillId="4" borderId="11" xfId="0" applyNumberFormat="1" applyFill="1" applyBorder="1" applyAlignment="1" applyProtection="1">
      <alignment vertical="center"/>
      <protection hidden="1"/>
    </xf>
    <xf numFmtId="40" fontId="15" fillId="4" borderId="11" xfId="0" applyNumberFormat="1" applyFont="1" applyFill="1" applyBorder="1" applyAlignment="1" applyProtection="1">
      <alignment horizontal="right"/>
      <protection hidden="1"/>
    </xf>
    <xf numFmtId="40" fontId="0" fillId="4" borderId="2" xfId="0" applyNumberFormat="1" applyFill="1" applyBorder="1" applyAlignment="1" applyProtection="1">
      <alignment vertical="center"/>
      <protection hidden="1"/>
    </xf>
    <xf numFmtId="40" fontId="15" fillId="4" borderId="2" xfId="0" applyNumberFormat="1" applyFont="1" applyFill="1" applyBorder="1" applyAlignment="1" applyProtection="1">
      <alignment horizontal="right" vertical="top"/>
      <protection hidden="1"/>
    </xf>
    <xf numFmtId="169" fontId="5" fillId="2" borderId="46" xfId="1" applyNumberFormat="1" applyFont="1" applyFill="1" applyBorder="1" applyAlignment="1" applyProtection="1">
      <alignment vertical="center"/>
      <protection hidden="1"/>
    </xf>
    <xf numFmtId="17" fontId="4" fillId="2" borderId="39" xfId="1" applyNumberFormat="1" applyFont="1" applyFill="1" applyBorder="1" applyAlignment="1" applyProtection="1">
      <alignment horizontal="center" vertical="center"/>
      <protection hidden="1"/>
    </xf>
    <xf numFmtId="169" fontId="5" fillId="2" borderId="22" xfId="1" applyNumberFormat="1" applyFont="1" applyFill="1" applyBorder="1" applyAlignment="1" applyProtection="1">
      <alignment horizontal="right" vertical="center"/>
      <protection hidden="1"/>
    </xf>
    <xf numFmtId="169" fontId="5" fillId="2" borderId="40" xfId="1" applyNumberFormat="1" applyFont="1" applyFill="1" applyBorder="1" applyAlignment="1" applyProtection="1">
      <alignment horizontal="right" vertical="center"/>
      <protection hidden="1"/>
    </xf>
    <xf numFmtId="169" fontId="5" fillId="2" borderId="42" xfId="1" applyNumberFormat="1" applyFont="1" applyFill="1" applyBorder="1" applyAlignment="1" applyProtection="1">
      <alignment horizontal="right" vertical="center"/>
      <protection hidden="1"/>
    </xf>
    <xf numFmtId="10" fontId="26" fillId="2" borderId="0" xfId="4" applyNumberFormat="1" applyFont="1" applyFill="1" applyBorder="1" applyAlignment="1" applyProtection="1">
      <alignment vertical="center"/>
      <protection hidden="1"/>
    </xf>
    <xf numFmtId="40" fontId="5" fillId="2" borderId="20" xfId="1" applyNumberFormat="1" applyFont="1" applyFill="1" applyBorder="1" applyAlignment="1" applyProtection="1">
      <alignment vertical="center"/>
      <protection hidden="1"/>
    </xf>
    <xf numFmtId="40" fontId="5" fillId="2" borderId="21" xfId="1" applyNumberFormat="1" applyFont="1" applyFill="1" applyBorder="1" applyAlignment="1" applyProtection="1">
      <alignment vertical="center"/>
      <protection hidden="1"/>
    </xf>
    <xf numFmtId="40" fontId="19" fillId="11" borderId="51" xfId="0" applyNumberFormat="1" applyFont="1" applyFill="1" applyBorder="1" applyAlignment="1" applyProtection="1">
      <alignment vertical="center"/>
      <protection hidden="1"/>
    </xf>
    <xf numFmtId="40" fontId="20" fillId="0" borderId="52" xfId="0" applyNumberFormat="1" applyFont="1" applyBorder="1" applyAlignment="1" applyProtection="1">
      <alignment horizontal="right" vertical="center"/>
      <protection hidden="1"/>
    </xf>
    <xf numFmtId="40" fontId="20" fillId="0" borderId="0" xfId="0" applyNumberFormat="1" applyFont="1" applyAlignment="1" applyProtection="1">
      <alignment horizontal="right" vertical="center"/>
      <protection hidden="1"/>
    </xf>
    <xf numFmtId="40" fontId="0" fillId="9" borderId="40" xfId="0" applyNumberFormat="1" applyFill="1" applyBorder="1" applyAlignment="1" applyProtection="1">
      <alignment vertical="center"/>
      <protection hidden="1"/>
    </xf>
    <xf numFmtId="40" fontId="0" fillId="9" borderId="49" xfId="0" applyNumberFormat="1" applyFill="1" applyBorder="1" applyAlignment="1" applyProtection="1">
      <alignment vertical="center"/>
      <protection hidden="1"/>
    </xf>
    <xf numFmtId="175" fontId="5" fillId="2" borderId="35" xfId="2" applyNumberFormat="1" applyFont="1" applyFill="1" applyBorder="1" applyAlignment="1" applyProtection="1">
      <alignment horizontal="center" vertical="center"/>
      <protection locked="0"/>
    </xf>
    <xf numFmtId="175" fontId="5" fillId="2" borderId="36" xfId="2" applyNumberFormat="1" applyFont="1" applyFill="1" applyBorder="1" applyAlignment="1" applyProtection="1">
      <alignment horizontal="center" vertical="center"/>
      <protection locked="0"/>
    </xf>
    <xf numFmtId="176" fontId="5" fillId="2" borderId="37" xfId="1" applyNumberFormat="1" applyFont="1" applyFill="1" applyBorder="1" applyAlignment="1" applyProtection="1">
      <alignment horizontal="center" vertical="center"/>
      <protection locked="0"/>
    </xf>
    <xf numFmtId="177" fontId="19" fillId="11" borderId="51" xfId="0" applyNumberFormat="1" applyFont="1" applyFill="1" applyBorder="1" applyAlignment="1" applyProtection="1">
      <alignment horizontal="left" vertical="center"/>
      <protection hidden="1"/>
    </xf>
    <xf numFmtId="40" fontId="5" fillId="0" borderId="0" xfId="1" applyNumberFormat="1" applyFont="1" applyFill="1" applyAlignment="1" applyProtection="1">
      <alignment vertical="center"/>
      <protection locked="0"/>
    </xf>
    <xf numFmtId="167" fontId="3" fillId="0" borderId="0" xfId="1" applyFont="1" applyFill="1" applyAlignment="1" applyProtection="1">
      <alignment horizontal="center" vertical="center"/>
      <protection hidden="1"/>
    </xf>
    <xf numFmtId="167" fontId="3" fillId="0" borderId="0" xfId="1" applyFont="1" applyFill="1" applyAlignment="1" applyProtection="1">
      <alignment horizontal="center" vertical="center"/>
      <protection locked="0"/>
    </xf>
    <xf numFmtId="40" fontId="15" fillId="0" borderId="0" xfId="1" applyNumberFormat="1" applyFont="1" applyFill="1" applyAlignment="1" applyProtection="1">
      <alignment vertical="center"/>
      <protection locked="0"/>
    </xf>
    <xf numFmtId="167" fontId="4" fillId="0" borderId="0" xfId="1" applyFont="1" applyFill="1" applyAlignment="1" applyProtection="1">
      <alignment vertical="center"/>
      <protection locked="0"/>
    </xf>
    <xf numFmtId="167" fontId="28" fillId="0" borderId="50" xfId="28" applyNumberFormat="1" applyFill="1" applyAlignment="1" applyProtection="1">
      <alignment vertical="center"/>
      <protection locked="0"/>
    </xf>
    <xf numFmtId="174" fontId="4" fillId="0" borderId="0" xfId="1" applyNumberFormat="1" applyFont="1" applyFill="1" applyAlignment="1" applyProtection="1">
      <alignment vertical="center"/>
      <protection locked="0"/>
    </xf>
    <xf numFmtId="167" fontId="5" fillId="0" borderId="0" xfId="1" applyFont="1" applyFill="1" applyAlignment="1" applyProtection="1">
      <alignment vertical="center"/>
      <protection locked="0"/>
    </xf>
    <xf numFmtId="167" fontId="5" fillId="0" borderId="0" xfId="1" applyFont="1" applyFill="1" applyAlignment="1" applyProtection="1">
      <alignment vertical="center" wrapText="1"/>
      <protection locked="0"/>
    </xf>
    <xf numFmtId="167" fontId="4" fillId="0" borderId="0" xfId="1" applyFont="1" applyFill="1" applyAlignment="1" applyProtection="1">
      <alignment horizontal="right" wrapText="1"/>
      <protection locked="0"/>
    </xf>
    <xf numFmtId="40" fontId="20" fillId="0" borderId="0" xfId="0" applyNumberFormat="1" applyFont="1" applyAlignment="1" applyProtection="1">
      <alignment horizontal="center" vertical="center"/>
      <protection hidden="1"/>
    </xf>
    <xf numFmtId="40" fontId="33" fillId="9" borderId="45" xfId="0" applyNumberFormat="1" applyFont="1" applyFill="1" applyBorder="1" applyAlignment="1" applyProtection="1">
      <alignment vertical="center"/>
      <protection hidden="1"/>
    </xf>
    <xf numFmtId="40" fontId="33" fillId="9" borderId="57" xfId="0" applyNumberFormat="1" applyFont="1" applyFill="1" applyBorder="1" applyAlignment="1" applyProtection="1">
      <alignment vertical="center"/>
      <protection hidden="1"/>
    </xf>
    <xf numFmtId="40" fontId="25" fillId="0" borderId="0" xfId="0" applyNumberFormat="1" applyFont="1" applyAlignment="1" applyProtection="1">
      <alignment vertical="center"/>
      <protection locked="0"/>
    </xf>
    <xf numFmtId="40" fontId="0" fillId="9" borderId="54" xfId="0" applyNumberFormat="1" applyFill="1" applyBorder="1" applyAlignment="1" applyProtection="1">
      <alignment horizontal="left" vertical="center" indent="1"/>
      <protection hidden="1"/>
    </xf>
    <xf numFmtId="40" fontId="0" fillId="9" borderId="55" xfId="0" applyNumberFormat="1" applyFill="1" applyBorder="1" applyAlignment="1" applyProtection="1">
      <alignment horizontal="left" vertical="center" indent="1"/>
      <protection hidden="1"/>
    </xf>
    <xf numFmtId="40" fontId="0" fillId="9" borderId="61" xfId="0" applyNumberFormat="1" applyFill="1" applyBorder="1" applyAlignment="1" applyProtection="1">
      <alignment horizontal="left" vertical="center" indent="1"/>
      <protection hidden="1"/>
    </xf>
    <xf numFmtId="40" fontId="16" fillId="3" borderId="29" xfId="0" applyNumberFormat="1" applyFont="1" applyFill="1" applyBorder="1" applyAlignment="1" applyProtection="1">
      <alignment vertical="center"/>
      <protection hidden="1"/>
    </xf>
    <xf numFmtId="40" fontId="16" fillId="3" borderId="44" xfId="0" applyNumberFormat="1" applyFont="1" applyFill="1" applyBorder="1" applyAlignment="1" applyProtection="1">
      <alignment vertical="center"/>
      <protection hidden="1"/>
    </xf>
    <xf numFmtId="40" fontId="0" fillId="0" borderId="35" xfId="0" applyNumberFormat="1" applyBorder="1" applyAlignment="1" applyProtection="1">
      <alignment horizontal="right" vertical="center"/>
      <protection locked="0"/>
    </xf>
    <xf numFmtId="40" fontId="0" fillId="9" borderId="36" xfId="0" applyNumberFormat="1" applyFill="1" applyBorder="1" applyAlignment="1" applyProtection="1">
      <alignment horizontal="right" vertical="center"/>
      <protection locked="0"/>
    </xf>
    <xf numFmtId="40" fontId="0" fillId="9" borderId="58" xfId="0" applyNumberFormat="1" applyFill="1" applyBorder="1" applyAlignment="1" applyProtection="1">
      <alignment vertical="center"/>
      <protection locked="0"/>
    </xf>
    <xf numFmtId="40" fontId="0" fillId="0" borderId="62" xfId="0" applyNumberFormat="1" applyBorder="1" applyAlignment="1" applyProtection="1">
      <alignment vertical="center"/>
      <protection locked="0"/>
    </xf>
    <xf numFmtId="40" fontId="0" fillId="9" borderId="62" xfId="0" applyNumberFormat="1" applyFill="1" applyBorder="1" applyAlignment="1" applyProtection="1">
      <alignment vertical="center"/>
      <protection hidden="1"/>
    </xf>
    <xf numFmtId="40" fontId="0" fillId="9" borderId="62" xfId="0" applyNumberFormat="1" applyFill="1" applyBorder="1" applyAlignment="1" applyProtection="1">
      <alignment vertical="center"/>
      <protection locked="0"/>
    </xf>
    <xf numFmtId="40" fontId="0" fillId="9" borderId="56" xfId="0" applyNumberFormat="1" applyFill="1" applyBorder="1" applyAlignment="1" applyProtection="1">
      <alignment vertical="center"/>
      <protection locked="0"/>
    </xf>
    <xf numFmtId="40" fontId="0" fillId="9" borderId="59" xfId="0" applyNumberFormat="1" applyFill="1" applyBorder="1" applyAlignment="1" applyProtection="1">
      <alignment vertical="center"/>
      <protection locked="0"/>
    </xf>
    <xf numFmtId="40" fontId="16" fillId="0" borderId="0" xfId="0" applyNumberFormat="1" applyFont="1" applyAlignment="1" applyProtection="1">
      <alignment vertical="center"/>
      <protection locked="0"/>
    </xf>
    <xf numFmtId="166" fontId="18" fillId="4" borderId="13" xfId="9" applyFont="1" applyBorder="1" applyAlignment="1">
      <alignment vertical="top"/>
      <protection hidden="1"/>
    </xf>
    <xf numFmtId="40" fontId="0" fillId="9" borderId="36" xfId="0" applyNumberFormat="1" applyFill="1" applyBorder="1" applyAlignment="1" applyProtection="1">
      <alignment horizontal="right" vertical="center"/>
      <protection hidden="1"/>
    </xf>
    <xf numFmtId="40" fontId="0" fillId="9" borderId="37" xfId="0" applyNumberFormat="1" applyFill="1" applyBorder="1" applyAlignment="1" applyProtection="1">
      <alignment horizontal="right" vertical="center"/>
      <protection hidden="1"/>
    </xf>
    <xf numFmtId="40" fontId="25" fillId="0" borderId="0" xfId="0" applyNumberFormat="1" applyFont="1" applyAlignment="1" applyProtection="1">
      <alignment horizontal="right" vertical="center"/>
      <protection hidden="1"/>
    </xf>
    <xf numFmtId="4" fontId="31" fillId="0" borderId="0" xfId="0" applyNumberFormat="1" applyFont="1" applyAlignment="1" applyProtection="1">
      <alignment vertical="center"/>
      <protection hidden="1"/>
    </xf>
    <xf numFmtId="166" fontId="17" fillId="4" borderId="10" xfId="8" applyFont="1" applyBorder="1" applyAlignment="1">
      <protection hidden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169" fontId="5" fillId="2" borderId="66" xfId="1" applyNumberFormat="1" applyFont="1" applyFill="1" applyBorder="1" applyAlignment="1" applyProtection="1">
      <alignment horizontal="right" vertical="center"/>
      <protection hidden="1"/>
    </xf>
    <xf numFmtId="169" fontId="5" fillId="2" borderId="21" xfId="1" applyNumberFormat="1" applyFont="1" applyFill="1" applyBorder="1" applyAlignment="1" applyProtection="1">
      <alignment horizontal="right" vertical="center"/>
      <protection hidden="1"/>
    </xf>
    <xf numFmtId="169" fontId="5" fillId="2" borderId="49" xfId="1" applyNumberFormat="1" applyFont="1" applyFill="1" applyBorder="1" applyAlignment="1" applyProtection="1">
      <alignment horizontal="right" vertical="center"/>
      <protection hidden="1"/>
    </xf>
    <xf numFmtId="40" fontId="5" fillId="2" borderId="0" xfId="1" applyNumberFormat="1" applyFont="1" applyFill="1" applyBorder="1" applyAlignment="1" applyProtection="1">
      <alignment vertical="center"/>
      <protection locked="0"/>
    </xf>
    <xf numFmtId="0" fontId="5" fillId="2" borderId="0" xfId="1" applyNumberFormat="1" applyFont="1" applyFill="1" applyBorder="1" applyAlignment="1" applyProtection="1">
      <protection locked="0"/>
    </xf>
    <xf numFmtId="0" fontId="29" fillId="2" borderId="11" xfId="16" applyFont="1" applyBorder="1" applyAlignment="1" applyProtection="1">
      <alignment vertical="center"/>
      <protection locked="0"/>
    </xf>
    <xf numFmtId="40" fontId="15" fillId="13" borderId="0" xfId="1" applyNumberFormat="1" applyFont="1" applyFill="1" applyAlignment="1" applyProtection="1">
      <alignment vertical="center"/>
      <protection hidden="1"/>
    </xf>
    <xf numFmtId="1" fontId="34" fillId="0" borderId="0" xfId="1" applyNumberFormat="1" applyFont="1" applyFill="1" applyAlignment="1" applyProtection="1">
      <alignment horizontal="center" vertical="center"/>
      <protection hidden="1"/>
    </xf>
    <xf numFmtId="169" fontId="5" fillId="2" borderId="24" xfId="1" applyNumberFormat="1" applyFont="1" applyFill="1" applyBorder="1" applyAlignment="1" applyProtection="1">
      <alignment horizontal="right" vertical="center"/>
      <protection hidden="1"/>
    </xf>
    <xf numFmtId="0" fontId="22" fillId="10" borderId="68" xfId="27" applyFont="1" applyBorder="1" applyAlignment="1" applyProtection="1">
      <alignment horizontal="center" vertical="center"/>
      <protection hidden="1"/>
    </xf>
    <xf numFmtId="17" fontId="4" fillId="12" borderId="71" xfId="1" applyNumberFormat="1" applyFont="1" applyFill="1" applyBorder="1" applyAlignment="1" applyProtection="1">
      <alignment horizontal="center" vertical="center"/>
      <protection hidden="1"/>
    </xf>
    <xf numFmtId="38" fontId="36" fillId="12" borderId="71" xfId="1" applyNumberFormat="1" applyFont="1" applyFill="1" applyBorder="1" applyAlignment="1" applyProtection="1">
      <alignment horizontal="center" vertical="center" wrapText="1"/>
      <protection hidden="1"/>
    </xf>
    <xf numFmtId="40" fontId="4" fillId="12" borderId="1" xfId="1" applyNumberFormat="1" applyFont="1" applyFill="1" applyBorder="1" applyAlignment="1" applyProtection="1">
      <alignment horizontal="center" vertical="center" wrapText="1"/>
      <protection hidden="1"/>
    </xf>
    <xf numFmtId="167" fontId="5" fillId="0" borderId="0" xfId="1" applyFont="1" applyFill="1" applyBorder="1" applyAlignment="1" applyProtection="1">
      <alignment vertical="center"/>
      <protection hidden="1"/>
    </xf>
    <xf numFmtId="0" fontId="0" fillId="0" borderId="0" xfId="0" applyAlignment="1" applyProtection="1">
      <alignment vertical="center"/>
      <protection locked="0"/>
    </xf>
    <xf numFmtId="40" fontId="35" fillId="8" borderId="11" xfId="8" applyNumberFormat="1" applyFont="1" applyFill="1" applyBorder="1" applyAlignment="1">
      <alignment horizontal="center"/>
      <protection hidden="1"/>
    </xf>
    <xf numFmtId="40" fontId="35" fillId="8" borderId="2" xfId="9" applyNumberFormat="1" applyFont="1" applyFill="1" applyAlignment="1">
      <alignment horizontal="center" vertical="top"/>
      <protection hidden="1"/>
    </xf>
    <xf numFmtId="166" fontId="17" fillId="4" borderId="10" xfId="8" applyFont="1" applyBorder="1" applyAlignment="1">
      <alignment horizontal="left" indent="1"/>
      <protection hidden="1"/>
    </xf>
    <xf numFmtId="166" fontId="18" fillId="4" borderId="13" xfId="9" applyFont="1" applyBorder="1" applyAlignment="1">
      <alignment horizontal="left" vertical="top" indent="1"/>
      <protection hidden="1"/>
    </xf>
    <xf numFmtId="40" fontId="27" fillId="2" borderId="0" xfId="1" applyNumberFormat="1" applyFont="1" applyFill="1" applyAlignment="1" applyProtection="1">
      <alignment vertical="center"/>
      <protection hidden="1"/>
    </xf>
    <xf numFmtId="166" fontId="10" fillId="4" borderId="11" xfId="8" applyBorder="1">
      <alignment vertical="center"/>
      <protection hidden="1"/>
    </xf>
    <xf numFmtId="166" fontId="10" fillId="4" borderId="12" xfId="8" applyBorder="1">
      <alignment vertical="center"/>
      <protection hidden="1"/>
    </xf>
    <xf numFmtId="40" fontId="15" fillId="4" borderId="11" xfId="8" applyNumberFormat="1" applyFont="1" applyBorder="1">
      <alignment vertical="center"/>
      <protection hidden="1"/>
    </xf>
    <xf numFmtId="166" fontId="10" fillId="4" borderId="2" xfId="9">
      <alignment vertical="center"/>
      <protection hidden="1"/>
    </xf>
    <xf numFmtId="166" fontId="10" fillId="4" borderId="14" xfId="9" applyBorder="1">
      <alignment vertical="center"/>
      <protection hidden="1"/>
    </xf>
    <xf numFmtId="40" fontId="15" fillId="4" borderId="2" xfId="9" applyNumberFormat="1" applyFont="1">
      <alignment vertical="center"/>
      <protection hidden="1"/>
    </xf>
    <xf numFmtId="0" fontId="5" fillId="2" borderId="0" xfId="1" applyNumberFormat="1" applyFont="1" applyFill="1" applyBorder="1" applyAlignment="1" applyProtection="1">
      <alignment vertical="center"/>
      <protection hidden="1"/>
    </xf>
    <xf numFmtId="169" fontId="5" fillId="2" borderId="23" xfId="1" applyNumberFormat="1" applyFont="1" applyFill="1" applyBorder="1" applyAlignment="1" applyProtection="1">
      <alignment horizontal="right" vertical="center"/>
      <protection hidden="1"/>
    </xf>
    <xf numFmtId="169" fontId="5" fillId="2" borderId="43" xfId="1" applyNumberFormat="1" applyFont="1" applyFill="1" applyBorder="1" applyAlignment="1" applyProtection="1">
      <alignment horizontal="right" vertical="center"/>
      <protection hidden="1"/>
    </xf>
    <xf numFmtId="40" fontId="7" fillId="2" borderId="0" xfId="1" applyNumberFormat="1" applyFont="1" applyFill="1" applyBorder="1" applyAlignment="1" applyProtection="1">
      <alignment horizontal="left" vertical="top" wrapText="1"/>
      <protection locked="0"/>
    </xf>
    <xf numFmtId="1" fontId="5" fillId="2" borderId="19" xfId="1" applyNumberFormat="1" applyFont="1" applyFill="1" applyBorder="1" applyAlignment="1" applyProtection="1">
      <alignment horizontal="center" vertical="center"/>
      <protection hidden="1"/>
    </xf>
    <xf numFmtId="1" fontId="5" fillId="2" borderId="22" xfId="1" applyNumberFormat="1" applyFont="1" applyFill="1" applyBorder="1" applyAlignment="1" applyProtection="1">
      <alignment horizontal="center" vertical="center"/>
      <protection hidden="1"/>
    </xf>
    <xf numFmtId="40" fontId="34" fillId="0" borderId="71" xfId="1" applyNumberFormat="1" applyFont="1" applyFill="1" applyBorder="1" applyAlignment="1" applyProtection="1">
      <alignment vertical="center"/>
      <protection locked="0"/>
    </xf>
    <xf numFmtId="40" fontId="35" fillId="8" borderId="77" xfId="8" applyNumberFormat="1" applyFont="1" applyFill="1" applyBorder="1" applyAlignment="1">
      <alignment horizontal="center"/>
      <protection hidden="1"/>
    </xf>
    <xf numFmtId="40" fontId="35" fillId="8" borderId="78" xfId="9" applyNumberFormat="1" applyFont="1" applyFill="1" applyBorder="1" applyAlignment="1">
      <alignment horizontal="center" vertical="top"/>
      <protection hidden="1"/>
    </xf>
    <xf numFmtId="40" fontId="5" fillId="2" borderId="71" xfId="1" applyNumberFormat="1" applyFont="1" applyFill="1" applyBorder="1" applyAlignment="1" applyProtection="1">
      <alignment vertical="center"/>
      <protection locked="0"/>
    </xf>
    <xf numFmtId="0" fontId="0" fillId="0" borderId="0" xfId="0" applyProtection="1">
      <protection locked="0"/>
    </xf>
    <xf numFmtId="1" fontId="34" fillId="2" borderId="46" xfId="1" applyNumberFormat="1" applyFont="1" applyFill="1" applyBorder="1" applyAlignment="1" applyProtection="1">
      <alignment horizontal="center" vertical="center"/>
      <protection hidden="1"/>
    </xf>
    <xf numFmtId="40" fontId="5" fillId="2" borderId="47" xfId="1" applyNumberFormat="1" applyFont="1" applyFill="1" applyBorder="1" applyAlignment="1" applyProtection="1">
      <alignment vertical="center"/>
      <protection hidden="1"/>
    </xf>
    <xf numFmtId="40" fontId="5" fillId="2" borderId="66" xfId="1" applyNumberFormat="1" applyFont="1" applyFill="1" applyBorder="1" applyAlignment="1" applyProtection="1">
      <alignment vertical="center"/>
      <protection hidden="1"/>
    </xf>
    <xf numFmtId="167" fontId="44" fillId="14" borderId="32" xfId="11" applyFont="1" applyFill="1" applyBorder="1" applyAlignment="1">
      <alignment horizontal="center" vertical="center" wrapText="1"/>
      <protection hidden="1"/>
    </xf>
    <xf numFmtId="167" fontId="44" fillId="14" borderId="33" xfId="11" applyFont="1" applyFill="1" applyBorder="1" applyAlignment="1">
      <alignment horizontal="center" vertical="center" wrapText="1"/>
      <protection hidden="1"/>
    </xf>
    <xf numFmtId="167" fontId="44" fillId="14" borderId="34" xfId="11" applyFont="1" applyFill="1" applyBorder="1" applyAlignment="1">
      <alignment horizontal="center" vertical="center" wrapText="1"/>
      <protection hidden="1"/>
    </xf>
    <xf numFmtId="40" fontId="5" fillId="2" borderId="24" xfId="1" applyNumberFormat="1" applyFont="1" applyFill="1" applyBorder="1" applyAlignment="1" applyProtection="1">
      <alignment vertical="center"/>
      <protection hidden="1"/>
    </xf>
    <xf numFmtId="40" fontId="5" fillId="2" borderId="25" xfId="1" applyNumberFormat="1" applyFont="1" applyFill="1" applyBorder="1" applyAlignment="1" applyProtection="1">
      <alignment vertical="center"/>
      <protection hidden="1"/>
    </xf>
    <xf numFmtId="167" fontId="44" fillId="14" borderId="15" xfId="11" applyFont="1" applyFill="1" applyBorder="1" applyAlignment="1">
      <alignment horizontal="center" vertical="center" wrapText="1"/>
      <protection hidden="1"/>
    </xf>
    <xf numFmtId="40" fontId="16" fillId="15" borderId="32" xfId="24" applyFont="1" applyFill="1" applyBorder="1" applyAlignment="1">
      <alignment vertical="center"/>
      <protection hidden="1"/>
    </xf>
    <xf numFmtId="40" fontId="16" fillId="15" borderId="33" xfId="24" applyFont="1" applyFill="1" applyBorder="1" applyAlignment="1">
      <alignment vertical="center"/>
      <protection hidden="1"/>
    </xf>
    <xf numFmtId="40" fontId="16" fillId="15" borderId="34" xfId="1" applyNumberFormat="1" applyFont="1" applyFill="1" applyBorder="1" applyAlignment="1" applyProtection="1">
      <alignment horizontal="right" vertical="center"/>
      <protection hidden="1"/>
    </xf>
    <xf numFmtId="40" fontId="16" fillId="15" borderId="15" xfId="24" applyFont="1" applyFill="1" applyBorder="1" applyAlignment="1">
      <alignment vertical="center"/>
      <protection hidden="1"/>
    </xf>
    <xf numFmtId="40" fontId="16" fillId="15" borderId="32" xfId="25" applyNumberFormat="1" applyFont="1" applyFill="1" applyBorder="1">
      <alignment vertical="center"/>
      <protection hidden="1"/>
    </xf>
    <xf numFmtId="40" fontId="16" fillId="15" borderId="34" xfId="25" applyNumberFormat="1" applyFont="1" applyFill="1" applyBorder="1">
      <alignment vertical="center"/>
      <protection hidden="1"/>
    </xf>
    <xf numFmtId="167" fontId="5" fillId="0" borderId="35" xfId="1" applyFont="1" applyFill="1" applyBorder="1" applyAlignment="1" applyProtection="1">
      <alignment vertical="center"/>
      <protection hidden="1"/>
    </xf>
    <xf numFmtId="167" fontId="4" fillId="0" borderId="35" xfId="1" applyFont="1" applyFill="1" applyBorder="1" applyAlignment="1" applyProtection="1">
      <alignment horizontal="right" vertical="center"/>
      <protection hidden="1"/>
    </xf>
    <xf numFmtId="167" fontId="5" fillId="0" borderId="36" xfId="1" applyFont="1" applyFill="1" applyBorder="1" applyAlignment="1" applyProtection="1">
      <alignment vertical="center"/>
      <protection hidden="1"/>
    </xf>
    <xf numFmtId="167" fontId="4" fillId="0" borderId="36" xfId="1" applyFont="1" applyFill="1" applyBorder="1" applyAlignment="1" applyProtection="1">
      <alignment horizontal="right" vertical="center"/>
      <protection hidden="1"/>
    </xf>
    <xf numFmtId="14" fontId="0" fillId="0" borderId="36" xfId="0" applyNumberFormat="1" applyBorder="1" applyAlignment="1">
      <alignment horizontal="right" vertical="center"/>
    </xf>
    <xf numFmtId="167" fontId="5" fillId="0" borderId="37" xfId="1" applyFont="1" applyFill="1" applyBorder="1" applyAlignment="1" applyProtection="1">
      <alignment vertical="center"/>
      <protection hidden="1"/>
    </xf>
    <xf numFmtId="14" fontId="0" fillId="0" borderId="37" xfId="0" applyNumberFormat="1" applyBorder="1" applyAlignment="1">
      <alignment horizontal="right" vertical="center"/>
    </xf>
    <xf numFmtId="40" fontId="4" fillId="12" borderId="74" xfId="1" applyNumberFormat="1" applyFont="1" applyFill="1" applyBorder="1" applyAlignment="1" applyProtection="1">
      <alignment horizontal="center" vertical="center"/>
      <protection locked="0"/>
    </xf>
    <xf numFmtId="40" fontId="4" fillId="12" borderId="75" xfId="1" applyNumberFormat="1" applyFont="1" applyFill="1" applyBorder="1" applyAlignment="1" applyProtection="1">
      <alignment horizontal="center" vertical="center"/>
      <protection locked="0"/>
    </xf>
    <xf numFmtId="40" fontId="41" fillId="9" borderId="74" xfId="1" applyNumberFormat="1" applyFont="1" applyFill="1" applyBorder="1" applyAlignment="1" applyProtection="1">
      <alignment horizontal="center" vertical="center"/>
      <protection locked="0"/>
    </xf>
    <xf numFmtId="40" fontId="41" fillId="9" borderId="75" xfId="1" applyNumberFormat="1" applyFont="1" applyFill="1" applyBorder="1" applyAlignment="1" applyProtection="1">
      <alignment horizontal="center" vertical="center"/>
      <protection locked="0"/>
    </xf>
    <xf numFmtId="40" fontId="42" fillId="2" borderId="76" xfId="1" applyNumberFormat="1" applyFont="1" applyFill="1" applyBorder="1" applyAlignment="1" applyProtection="1">
      <alignment vertical="center"/>
      <protection locked="0"/>
    </xf>
    <xf numFmtId="167" fontId="23" fillId="2" borderId="0" xfId="1" applyFont="1" applyFill="1" applyBorder="1" applyAlignment="1" applyProtection="1">
      <alignment horizontal="center" vertical="top" wrapText="1"/>
      <protection hidden="1"/>
    </xf>
    <xf numFmtId="167" fontId="4" fillId="2" borderId="27" xfId="1" applyFont="1" applyFill="1" applyBorder="1" applyAlignment="1" applyProtection="1">
      <alignment vertical="center"/>
      <protection locked="0"/>
    </xf>
    <xf numFmtId="167" fontId="4" fillId="2" borderId="28" xfId="1" applyFont="1" applyFill="1" applyBorder="1" applyAlignment="1" applyProtection="1">
      <alignment vertical="center"/>
      <protection locked="0"/>
    </xf>
    <xf numFmtId="167" fontId="4" fillId="2" borderId="26" xfId="1" applyFont="1" applyFill="1" applyBorder="1" applyAlignment="1" applyProtection="1">
      <alignment vertical="center"/>
      <protection locked="0"/>
    </xf>
    <xf numFmtId="0" fontId="43" fillId="2" borderId="0" xfId="1" applyNumberFormat="1" applyFont="1" applyFill="1" applyAlignment="1" applyProtection="1">
      <alignment vertical="center"/>
      <protection hidden="1"/>
    </xf>
    <xf numFmtId="167" fontId="4" fillId="2" borderId="32" xfId="1" applyFont="1" applyFill="1" applyBorder="1" applyAlignment="1" applyProtection="1">
      <alignment vertical="center"/>
      <protection locked="0"/>
    </xf>
    <xf numFmtId="167" fontId="4" fillId="2" borderId="33" xfId="1" applyFont="1" applyFill="1" applyBorder="1" applyAlignment="1" applyProtection="1">
      <alignment vertical="center"/>
      <protection locked="0"/>
    </xf>
    <xf numFmtId="167" fontId="4" fillId="2" borderId="34" xfId="1" applyFont="1" applyFill="1" applyBorder="1" applyAlignment="1" applyProtection="1">
      <alignment vertical="center"/>
      <protection locked="0"/>
    </xf>
    <xf numFmtId="0" fontId="6" fillId="2" borderId="0" xfId="1" applyNumberFormat="1" applyFont="1" applyFill="1" applyBorder="1" applyAlignment="1" applyProtection="1">
      <alignment horizontal="left" vertical="center" wrapText="1" indent="2"/>
      <protection hidden="1"/>
    </xf>
    <xf numFmtId="0" fontId="5" fillId="2" borderId="63" xfId="1" applyNumberFormat="1" applyFont="1" applyFill="1" applyBorder="1" applyAlignment="1" applyProtection="1">
      <alignment vertical="center"/>
      <protection hidden="1"/>
    </xf>
    <xf numFmtId="0" fontId="5" fillId="2" borderId="53" xfId="1" applyNumberFormat="1" applyFont="1" applyFill="1" applyBorder="1" applyAlignment="1" applyProtection="1">
      <alignment vertical="center"/>
      <protection hidden="1"/>
    </xf>
    <xf numFmtId="0" fontId="5" fillId="2" borderId="0" xfId="1" applyNumberFormat="1" applyFont="1" applyFill="1" applyAlignment="1" applyProtection="1">
      <alignment vertical="center"/>
      <protection hidden="1"/>
    </xf>
    <xf numFmtId="0" fontId="5" fillId="2" borderId="67" xfId="1" applyNumberFormat="1" applyFont="1" applyFill="1" applyBorder="1" applyAlignment="1" applyProtection="1">
      <alignment vertical="center"/>
      <protection hidden="1"/>
    </xf>
    <xf numFmtId="0" fontId="40" fillId="0" borderId="72" xfId="1" applyNumberFormat="1" applyFont="1" applyFill="1" applyBorder="1" applyAlignment="1" applyProtection="1">
      <alignment vertical="center"/>
      <protection hidden="1"/>
    </xf>
    <xf numFmtId="40" fontId="7" fillId="2" borderId="73" xfId="1" applyNumberFormat="1" applyFont="1" applyFill="1" applyBorder="1" applyAlignment="1" applyProtection="1">
      <alignment horizontal="left" wrapText="1"/>
      <protection hidden="1"/>
    </xf>
    <xf numFmtId="40" fontId="7" fillId="2" borderId="0" xfId="1" applyNumberFormat="1" applyFont="1" applyFill="1" applyBorder="1" applyAlignment="1" applyProtection="1">
      <alignment horizontal="left" wrapText="1"/>
      <protection hidden="1"/>
    </xf>
    <xf numFmtId="166" fontId="4" fillId="0" borderId="8" xfId="8" applyFont="1" applyFill="1" applyBorder="1" applyAlignment="1" applyProtection="1">
      <alignment horizontal="right" vertical="center"/>
      <protection locked="0"/>
    </xf>
    <xf numFmtId="166" fontId="4" fillId="0" borderId="69" xfId="8" applyFont="1" applyFill="1" applyBorder="1" applyAlignment="1" applyProtection="1">
      <alignment horizontal="right" vertical="center"/>
      <protection locked="0"/>
    </xf>
    <xf numFmtId="166" fontId="4" fillId="0" borderId="9" xfId="9" applyFont="1" applyFill="1" applyBorder="1" applyAlignment="1" applyProtection="1">
      <alignment horizontal="right" vertical="center"/>
      <protection locked="0"/>
    </xf>
    <xf numFmtId="166" fontId="4" fillId="0" borderId="70" xfId="9" applyFont="1" applyFill="1" applyBorder="1" applyAlignment="1" applyProtection="1">
      <alignment horizontal="right" vertical="center"/>
      <protection locked="0"/>
    </xf>
    <xf numFmtId="0" fontId="37" fillId="2" borderId="30" xfId="16" applyFont="1" applyBorder="1" applyAlignment="1">
      <alignment vertical="center"/>
      <protection hidden="1"/>
    </xf>
    <xf numFmtId="0" fontId="37" fillId="2" borderId="0" xfId="16" applyFont="1" applyBorder="1">
      <alignment horizontal="center" vertical="center"/>
      <protection hidden="1"/>
    </xf>
    <xf numFmtId="0" fontId="16" fillId="12" borderId="64" xfId="0" applyFont="1" applyFill="1" applyBorder="1" applyAlignment="1">
      <alignment horizontal="center" vertical="center"/>
    </xf>
    <xf numFmtId="0" fontId="16" fillId="12" borderId="65" xfId="0" applyFont="1" applyFill="1" applyBorder="1" applyAlignment="1">
      <alignment horizontal="center" vertical="center"/>
    </xf>
    <xf numFmtId="40" fontId="0" fillId="0" borderId="27" xfId="0" applyNumberFormat="1" applyBorder="1" applyAlignment="1" applyProtection="1">
      <alignment vertical="center"/>
      <protection locked="0"/>
    </xf>
    <xf numFmtId="40" fontId="0" fillId="0" borderId="28" xfId="0" applyNumberFormat="1" applyBorder="1" applyAlignment="1" applyProtection="1">
      <alignment vertical="center"/>
      <protection locked="0"/>
    </xf>
    <xf numFmtId="40" fontId="0" fillId="0" borderId="26" xfId="0" applyNumberFormat="1" applyBorder="1" applyAlignment="1" applyProtection="1">
      <alignment vertical="center"/>
      <protection locked="0"/>
    </xf>
    <xf numFmtId="40" fontId="0" fillId="9" borderId="16" xfId="0" applyNumberFormat="1" applyFill="1" applyBorder="1" applyAlignment="1" applyProtection="1">
      <alignment vertical="center"/>
      <protection hidden="1"/>
    </xf>
    <xf numFmtId="40" fontId="0" fillId="9" borderId="60" xfId="0" applyNumberFormat="1" applyFill="1" applyBorder="1" applyAlignment="1" applyProtection="1">
      <alignment vertical="center"/>
      <protection hidden="1"/>
    </xf>
    <xf numFmtId="40" fontId="0" fillId="0" borderId="22" xfId="0" applyNumberFormat="1" applyBorder="1" applyAlignment="1" applyProtection="1">
      <alignment vertical="center"/>
      <protection locked="0"/>
    </xf>
    <xf numFmtId="40" fontId="0" fillId="0" borderId="42" xfId="0" applyNumberFormat="1" applyBorder="1" applyAlignment="1" applyProtection="1">
      <alignment vertical="center"/>
      <protection locked="0"/>
    </xf>
    <xf numFmtId="40" fontId="0" fillId="9" borderId="22" xfId="0" applyNumberFormat="1" applyFill="1" applyBorder="1" applyAlignment="1" applyProtection="1">
      <alignment vertical="center"/>
      <protection hidden="1"/>
    </xf>
    <xf numFmtId="40" fontId="0" fillId="9" borderId="42" xfId="0" applyNumberFormat="1" applyFill="1" applyBorder="1" applyAlignment="1" applyProtection="1">
      <alignment vertical="center"/>
      <protection hidden="1"/>
    </xf>
    <xf numFmtId="0" fontId="0" fillId="0" borderId="0" xfId="0" quotePrefix="1"/>
    <xf numFmtId="0" fontId="16" fillId="0" borderId="0" xfId="0" applyFont="1"/>
    <xf numFmtId="0" fontId="16" fillId="0" borderId="0" xfId="0" quotePrefix="1" applyFont="1"/>
  </cellXfs>
  <cellStyles count="29">
    <cellStyle name="Background" xfId="7" xr:uid="{00000000-0005-0000-0000-000000000000}"/>
    <cellStyle name="Banner 1" xfId="8" xr:uid="{00000000-0005-0000-0000-000001000000}"/>
    <cellStyle name="Banner 2" xfId="9" xr:uid="{00000000-0005-0000-0000-000002000000}"/>
    <cellStyle name="Column Head 1" xfId="10" xr:uid="{00000000-0005-0000-0000-000003000000}"/>
    <cellStyle name="Column Head 2" xfId="11" xr:uid="{00000000-0005-0000-0000-000004000000}"/>
    <cellStyle name="Comma" xfId="1" builtinId="3"/>
    <cellStyle name="Comma (0)" xfId="12" xr:uid="{00000000-0005-0000-0000-000006000000}"/>
    <cellStyle name="Comma (0) _" xfId="13" xr:uid="{00000000-0005-0000-0000-000007000000}"/>
    <cellStyle name="Comma (2)" xfId="14" xr:uid="{00000000-0005-0000-0000-000008000000}"/>
    <cellStyle name="Comma (2) _" xfId="15" xr:uid="{00000000-0005-0000-0000-000009000000}"/>
    <cellStyle name="Currency" xfId="2" builtinId="4"/>
    <cellStyle name="Followed Hyperlink" xfId="5" builtinId="9" customBuiltin="1"/>
    <cellStyle name="Header" xfId="16" xr:uid="{00000000-0005-0000-0000-00000C000000}"/>
    <cellStyle name="Heading 2" xfId="28" builtinId="17"/>
    <cellStyle name="Heading 3" xfId="6" builtinId="18" customBuiltin="1"/>
    <cellStyle name="Hyperlink" xfId="3" builtinId="8" customBuiltin="1"/>
    <cellStyle name="Locked Text" xfId="17" xr:uid="{00000000-0005-0000-0000-00000F000000}"/>
    <cellStyle name="Normal" xfId="0" builtinId="0" customBuiltin="1"/>
    <cellStyle name="Note" xfId="27" builtinId="10"/>
    <cellStyle name="Percent" xfId="4" builtinId="5"/>
    <cellStyle name="Total $ (0)" xfId="18" xr:uid="{00000000-0005-0000-0000-000012000000}"/>
    <cellStyle name="Total $ (0) _" xfId="19" xr:uid="{00000000-0005-0000-0000-000013000000}"/>
    <cellStyle name="Total $ (2)" xfId="20" xr:uid="{00000000-0005-0000-0000-000014000000}"/>
    <cellStyle name="Total $ (2) _" xfId="21" xr:uid="{00000000-0005-0000-0000-000015000000}"/>
    <cellStyle name="Total (0)" xfId="22" xr:uid="{00000000-0005-0000-0000-000016000000}"/>
    <cellStyle name="Total (0) _" xfId="23" xr:uid="{00000000-0005-0000-0000-000017000000}"/>
    <cellStyle name="Total (2)" xfId="24" xr:uid="{00000000-0005-0000-0000-000018000000}"/>
    <cellStyle name="Total (2) _" xfId="25" xr:uid="{00000000-0005-0000-0000-000019000000}"/>
    <cellStyle name="Unlocked Text" xfId="26" xr:uid="{00000000-0005-0000-0000-00001A000000}"/>
  </cellStyles>
  <dxfs count="15"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/>
      </font>
    </dxf>
    <dxf>
      <font>
        <color theme="0"/>
      </font>
    </dxf>
    <dxf>
      <font>
        <b val="0"/>
        <i val="0"/>
        <color rgb="FFFF0000"/>
      </font>
      <fill>
        <patternFill>
          <bgColor theme="0"/>
        </patternFill>
      </fill>
    </dxf>
    <dxf>
      <font>
        <b/>
        <i val="0"/>
        <color rgb="FF969696"/>
      </font>
    </dxf>
    <dxf>
      <font>
        <b/>
        <i val="0"/>
        <color rgb="FF969696"/>
      </font>
    </dxf>
    <dxf>
      <font>
        <b val="0"/>
        <i val="0"/>
        <color rgb="FFFF0000"/>
      </font>
      <fill>
        <patternFill>
          <bgColor theme="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CC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mailto:support@accountantsdesktop.com.au?subject=HirePurchaseMonthlyStandardv4" TargetMode="External"/><Relationship Id="rId6" Type="http://schemas.openxmlformats.org/officeDocument/2006/relationships/image" Target="../media/image5.png"/><Relationship Id="rId5" Type="http://schemas.openxmlformats.org/officeDocument/2006/relationships/image" Target="../media/image4.svg"/><Relationship Id="rId4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sv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123825</xdr:colOff>
      <xdr:row>0</xdr:row>
      <xdr:rowOff>28575</xdr:rowOff>
    </xdr:from>
    <xdr:to>
      <xdr:col>7</xdr:col>
      <xdr:colOff>571500</xdr:colOff>
      <xdr:row>1</xdr:row>
      <xdr:rowOff>228600</xdr:rowOff>
    </xdr:to>
    <xdr:pic>
      <xdr:nvPicPr>
        <xdr:cNvPr id="4" name="Graphic 3" descr="Envelope with solid fill">
          <a:hlinkClick xmlns:r="http://schemas.openxmlformats.org/officeDocument/2006/relationships" r:id="rId1" tooltip="Send an email to Accountants Desktop requesting support or providing feedback"/>
          <a:extLst>
            <a:ext uri="{FF2B5EF4-FFF2-40B4-BE49-F238E27FC236}">
              <a16:creationId xmlns:a16="http://schemas.microsoft.com/office/drawing/2014/main" id="{94ABF19C-2468-472D-8463-A1748AFD9B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4029075" y="28575"/>
          <a:ext cx="447675" cy="447675"/>
        </a:xfrm>
        <a:prstGeom prst="rect">
          <a:avLst/>
        </a:prstGeom>
      </xdr:spPr>
    </xdr:pic>
    <xdr:clientData fPrintsWithSheet="0"/>
  </xdr:twoCellAnchor>
  <xdr:twoCellAnchor editAs="oneCell">
    <xdr:from>
      <xdr:col>5</xdr:col>
      <xdr:colOff>742950</xdr:colOff>
      <xdr:row>0</xdr:row>
      <xdr:rowOff>85725</xdr:rowOff>
    </xdr:from>
    <xdr:to>
      <xdr:col>6</xdr:col>
      <xdr:colOff>180975</xdr:colOff>
      <xdr:row>1</xdr:row>
      <xdr:rowOff>190500</xdr:rowOff>
    </xdr:to>
    <xdr:pic macro="[0]!PrintSchedule">
      <xdr:nvPicPr>
        <xdr:cNvPr id="5" name="Graphic 4" descr="Fax">
          <a:extLst>
            <a:ext uri="{FF2B5EF4-FFF2-40B4-BE49-F238E27FC236}">
              <a16:creationId xmlns:a16="http://schemas.microsoft.com/office/drawing/2014/main" id="{8EB7339B-387B-49B5-95FE-C12E034552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"/>
            </a:ext>
          </a:extLst>
        </a:blip>
        <a:stretch>
          <a:fillRect/>
        </a:stretch>
      </xdr:blipFill>
      <xdr:spPr>
        <a:xfrm>
          <a:off x="2819400" y="85725"/>
          <a:ext cx="352425" cy="352425"/>
        </a:xfrm>
        <a:prstGeom prst="rect">
          <a:avLst/>
        </a:prstGeom>
      </xdr:spPr>
    </xdr:pic>
    <xdr:clientData fPrintsWithSheet="0"/>
  </xdr:twoCellAnchor>
  <xdr:twoCellAnchor>
    <xdr:from>
      <xdr:col>8</xdr:col>
      <xdr:colOff>514350</xdr:colOff>
      <xdr:row>0</xdr:row>
      <xdr:rowOff>114300</xdr:rowOff>
    </xdr:from>
    <xdr:to>
      <xdr:col>10</xdr:col>
      <xdr:colOff>895350</xdr:colOff>
      <xdr:row>1</xdr:row>
      <xdr:rowOff>154650</xdr:rowOff>
    </xdr:to>
    <xdr:sp macro="" textlink="">
      <xdr:nvSpPr>
        <xdr:cNvPr id="8" name="Rectangle: Rounded Corners 47">
          <a:extLst>
            <a:ext uri="{FF2B5EF4-FFF2-40B4-BE49-F238E27FC236}">
              <a16:creationId xmlns:a16="http://schemas.microsoft.com/office/drawing/2014/main" id="{92DD3720-BB84-4910-87F4-855D6E2D2DB7}"/>
            </a:ext>
          </a:extLst>
        </xdr:cNvPr>
        <xdr:cNvSpPr>
          <a:spLocks/>
        </xdr:cNvSpPr>
      </xdr:nvSpPr>
      <xdr:spPr>
        <a:xfrm>
          <a:off x="5334000" y="114300"/>
          <a:ext cx="2209800" cy="288000"/>
        </a:xfrm>
        <a:prstGeom prst="roundRect">
          <a:avLst/>
        </a:prstGeom>
        <a:solidFill>
          <a:schemeClr val="bg1"/>
        </a:solidFill>
        <a:ln>
          <a:noFill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72000" tIns="36000" rIns="36000" bIns="36000" rtlCol="0" anchor="ctr">
          <a:noAutofit/>
        </a:bodyPr>
        <a:lstStyle/>
        <a:p>
          <a:pPr algn="l"/>
          <a:r>
            <a:rPr lang="en-AU" sz="800" b="0" u="none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Dragging and dropping </a:t>
          </a:r>
          <a:r>
            <a:rPr lang="en-AU" sz="8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can produce an error</a:t>
          </a:r>
        </a:p>
      </xdr:txBody>
    </xdr:sp>
    <xdr:clientData fPrintsWithSheet="0"/>
  </xdr:twoCellAnchor>
  <xdr:twoCellAnchor>
    <xdr:from>
      <xdr:col>16</xdr:col>
      <xdr:colOff>0</xdr:colOff>
      <xdr:row>0</xdr:row>
      <xdr:rowOff>114300</xdr:rowOff>
    </xdr:from>
    <xdr:to>
      <xdr:col>19</xdr:col>
      <xdr:colOff>590550</xdr:colOff>
      <xdr:row>1</xdr:row>
      <xdr:rowOff>154650</xdr:rowOff>
    </xdr:to>
    <xdr:sp macro="" textlink="">
      <xdr:nvSpPr>
        <xdr:cNvPr id="10" name="Rectangle: Rounded Corners 29">
          <a:extLst>
            <a:ext uri="{FF2B5EF4-FFF2-40B4-BE49-F238E27FC236}">
              <a16:creationId xmlns:a16="http://schemas.microsoft.com/office/drawing/2014/main" id="{C5ED4F36-36C1-41EB-9B3D-BD281C145454}"/>
            </a:ext>
          </a:extLst>
        </xdr:cNvPr>
        <xdr:cNvSpPr>
          <a:spLocks/>
        </xdr:cNvSpPr>
      </xdr:nvSpPr>
      <xdr:spPr>
        <a:xfrm>
          <a:off x="11830050" y="114300"/>
          <a:ext cx="2419350" cy="288000"/>
        </a:xfrm>
        <a:prstGeom prst="roundRect">
          <a:avLst/>
        </a:prstGeom>
        <a:solidFill>
          <a:schemeClr val="bg1"/>
        </a:solidFill>
        <a:ln>
          <a:noFill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36000" tIns="36000" rIns="36000" bIns="36000" rtlCol="0" anchor="ctr">
          <a:noAutofit/>
        </a:bodyPr>
        <a:lstStyle/>
        <a:p>
          <a:pPr algn="l"/>
          <a:r>
            <a:rPr lang="en-AU" sz="800" b="0" u="none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Not compatible </a:t>
          </a:r>
          <a:r>
            <a:rPr lang="en-AU" sz="800" b="0" u="none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with Excel versions 2019 and prior</a:t>
          </a:r>
        </a:p>
      </xdr:txBody>
    </xdr:sp>
    <xdr:clientData/>
  </xdr:twoCellAnchor>
  <xdr:twoCellAnchor>
    <xdr:from>
      <xdr:col>21</xdr:col>
      <xdr:colOff>0</xdr:colOff>
      <xdr:row>0</xdr:row>
      <xdr:rowOff>104775</xdr:rowOff>
    </xdr:from>
    <xdr:to>
      <xdr:col>24</xdr:col>
      <xdr:colOff>149925</xdr:colOff>
      <xdr:row>1</xdr:row>
      <xdr:rowOff>145125</xdr:rowOff>
    </xdr:to>
    <xdr:grpSp>
      <xdr:nvGrpSpPr>
        <xdr:cNvPr id="11" name="Group 52">
          <a:extLst>
            <a:ext uri="{FF2B5EF4-FFF2-40B4-BE49-F238E27FC236}">
              <a16:creationId xmlns:a16="http://schemas.microsoft.com/office/drawing/2014/main" id="{4870DD6A-E056-4FB6-9916-D9D16C3B1C41}"/>
            </a:ext>
          </a:extLst>
        </xdr:cNvPr>
        <xdr:cNvGrpSpPr/>
      </xdr:nvGrpSpPr>
      <xdr:grpSpPr>
        <a:xfrm>
          <a:off x="14878050" y="104775"/>
          <a:ext cx="1978725" cy="288000"/>
          <a:chOff x="20516850" y="123825"/>
          <a:chExt cx="1978725" cy="288000"/>
        </a:xfrm>
      </xdr:grpSpPr>
      <xdr:sp macro="" textlink="">
        <xdr:nvSpPr>
          <xdr:cNvPr id="12" name="Rectangle: Rounded Corners 29">
            <a:extLst>
              <a:ext uri="{FF2B5EF4-FFF2-40B4-BE49-F238E27FC236}">
                <a16:creationId xmlns:a16="http://schemas.microsoft.com/office/drawing/2014/main" id="{FED93AE5-D4CB-1960-531B-04FB6E28488E}"/>
              </a:ext>
            </a:extLst>
          </xdr:cNvPr>
          <xdr:cNvSpPr>
            <a:spLocks/>
          </xdr:cNvSpPr>
        </xdr:nvSpPr>
        <xdr:spPr>
          <a:xfrm>
            <a:off x="20983575" y="123825"/>
            <a:ext cx="1512000" cy="288000"/>
          </a:xfrm>
          <a:prstGeom prst="roundRect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36000" tIns="36000" rIns="36000" bIns="36000" rtlCol="0" anchor="ctr">
            <a:noAutofit/>
          </a:bodyPr>
          <a:lstStyle/>
          <a:p>
            <a:pPr algn="l"/>
            <a:endParaRPr lang="en-AU" sz="800" b="0" u="none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pic>
        <xdr:nvPicPr>
          <xdr:cNvPr id="13" name="Picture 49">
            <a:extLst>
              <a:ext uri="{FF2B5EF4-FFF2-40B4-BE49-F238E27FC236}">
                <a16:creationId xmlns:a16="http://schemas.microsoft.com/office/drawing/2014/main" id="{D403C04C-65CB-C8E5-00D1-8718417FCB25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1059775" y="123825"/>
            <a:ext cx="1353600" cy="288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14" name="TextBox 18">
            <a:extLst>
              <a:ext uri="{FF2B5EF4-FFF2-40B4-BE49-F238E27FC236}">
                <a16:creationId xmlns:a16="http://schemas.microsoft.com/office/drawing/2014/main" id="{D7977B62-2995-0FBB-B775-E8F76BB7006A}"/>
              </a:ext>
            </a:extLst>
          </xdr:cNvPr>
          <xdr:cNvSpPr txBox="1">
            <a:spLocks/>
          </xdr:cNvSpPr>
        </xdr:nvSpPr>
        <xdr:spPr>
          <a:xfrm>
            <a:off x="20516850" y="200025"/>
            <a:ext cx="396000" cy="13266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overflow" horzOverflow="overflow" wrap="square" lIns="0" tIns="0" rIns="0" bIns="0" rtlCol="0" anchor="ctr" anchorCtr="0">
            <a:noAutofit/>
          </a:bodyPr>
          <a:lstStyle/>
          <a:p>
            <a:pPr algn="l"/>
            <a:r>
              <a:rPr lang="en-AU" sz="900" b="0" i="0">
                <a:solidFill>
                  <a:schemeClr val="bg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© 2025</a:t>
            </a:r>
          </a:p>
        </xdr:txBody>
      </xdr:sp>
    </xdr:grp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</xdr:row>
      <xdr:rowOff>85725</xdr:rowOff>
    </xdr:from>
    <xdr:to>
      <xdr:col>11</xdr:col>
      <xdr:colOff>352425</xdr:colOff>
      <xdr:row>2</xdr:row>
      <xdr:rowOff>190500</xdr:rowOff>
    </xdr:to>
    <xdr:pic macro="[0]!PrintJournals">
      <xdr:nvPicPr>
        <xdr:cNvPr id="2" name="Graphic 1" descr="Fax">
          <a:extLst>
            <a:ext uri="{FF2B5EF4-FFF2-40B4-BE49-F238E27FC236}">
              <a16:creationId xmlns:a16="http://schemas.microsoft.com/office/drawing/2014/main" id="{61E49BB5-696E-4B33-8276-0FF88E1331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0544175" y="85725"/>
          <a:ext cx="352425" cy="352425"/>
        </a:xfrm>
        <a:prstGeom prst="rect">
          <a:avLst/>
        </a:prstGeom>
      </xdr:spPr>
    </xdr:pic>
    <xdr:clientData fPrintsWithSheet="0"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681EB-9CDF-40F2-8F14-D950E461B90D}">
  <sheetPr codeName="Sheet4">
    <tabColor rgb="FFFF0000"/>
  </sheetPr>
  <dimension ref="A1:H110"/>
  <sheetViews>
    <sheetView showGridLines="0" workbookViewId="0">
      <selection activeCell="C17" sqref="C17"/>
    </sheetView>
  </sheetViews>
  <sheetFormatPr defaultRowHeight="15" customHeight="1" x14ac:dyDescent="0.2"/>
  <cols>
    <col min="1" max="1" width="102.7109375" bestFit="1" customWidth="1"/>
    <col min="3" max="3" width="41.42578125" bestFit="1" customWidth="1"/>
    <col min="4" max="6" width="12.7109375" style="74" customWidth="1"/>
  </cols>
  <sheetData>
    <row r="1" spans="1:8" ht="15" customHeight="1" thickBot="1" x14ac:dyDescent="0.25">
      <c r="A1" s="79" t="s">
        <v>101</v>
      </c>
      <c r="C1" s="196" t="s">
        <v>57</v>
      </c>
      <c r="D1" s="197"/>
      <c r="F1"/>
    </row>
    <row r="2" spans="1:8" ht="15" customHeight="1" thickTop="1" x14ac:dyDescent="0.2">
      <c r="A2" t="s">
        <v>104</v>
      </c>
      <c r="C2" s="162" t="s">
        <v>13</v>
      </c>
      <c r="D2" s="163">
        <v>100</v>
      </c>
      <c r="F2"/>
    </row>
    <row r="3" spans="1:8" ht="15" customHeight="1" x14ac:dyDescent="0.2">
      <c r="A3" t="s">
        <v>102</v>
      </c>
      <c r="C3" s="164" t="s">
        <v>14</v>
      </c>
      <c r="D3" s="165">
        <v>60</v>
      </c>
      <c r="E3" s="78"/>
      <c r="F3" s="78"/>
    </row>
    <row r="4" spans="1:8" ht="15" customHeight="1" x14ac:dyDescent="0.2">
      <c r="A4" s="208" t="s">
        <v>103</v>
      </c>
      <c r="C4" s="164" t="s">
        <v>46</v>
      </c>
      <c r="D4" s="166">
        <f>EOMONTH(IF(MONTH(DateCommence) &lt;= 6, DATE(YEAR(DateCommence), 6, 1), DATE(YEAR(DateCommence) + 1, 6, 1)), 0)</f>
        <v>182</v>
      </c>
      <c r="E4"/>
    </row>
    <row r="5" spans="1:8" ht="15" customHeight="1" x14ac:dyDescent="0.2">
      <c r="A5" s="207" t="s">
        <v>105</v>
      </c>
      <c r="C5" s="167" t="s">
        <v>100</v>
      </c>
      <c r="D5" s="168"/>
      <c r="E5" s="78"/>
      <c r="F5" s="78"/>
    </row>
    <row r="6" spans="1:8" ht="15" customHeight="1" x14ac:dyDescent="0.2">
      <c r="A6" s="209" t="s">
        <v>107</v>
      </c>
      <c r="D6" s="80"/>
      <c r="E6" s="78"/>
      <c r="F6" s="78"/>
    </row>
    <row r="7" spans="1:8" ht="15" customHeight="1" x14ac:dyDescent="0.2">
      <c r="A7" s="207" t="s">
        <v>106</v>
      </c>
      <c r="C7" s="123" t="s">
        <v>65</v>
      </c>
      <c r="D7" s="80"/>
      <c r="E7" s="81"/>
      <c r="F7" s="81"/>
    </row>
    <row r="8" spans="1:8" ht="15" customHeight="1" x14ac:dyDescent="0.2">
      <c r="C8" s="123" t="s">
        <v>66</v>
      </c>
      <c r="D8" s="78"/>
      <c r="E8"/>
      <c r="F8" s="81"/>
    </row>
    <row r="9" spans="1:8" ht="15" customHeight="1" thickBot="1" x14ac:dyDescent="0.25">
      <c r="A9" s="79" t="s">
        <v>82</v>
      </c>
      <c r="C9" s="123" t="s">
        <v>67</v>
      </c>
      <c r="D9"/>
      <c r="E9"/>
      <c r="F9" s="81"/>
    </row>
    <row r="10" spans="1:8" ht="15" customHeight="1" thickTop="1" x14ac:dyDescent="0.2">
      <c r="A10" s="109" t="s">
        <v>83</v>
      </c>
      <c r="C10" s="123" t="s">
        <v>68</v>
      </c>
      <c r="D10"/>
      <c r="E10"/>
      <c r="F10" s="81"/>
    </row>
    <row r="11" spans="1:8" ht="15" customHeight="1" x14ac:dyDescent="0.2">
      <c r="A11" s="108" t="s">
        <v>84</v>
      </c>
      <c r="C11" s="123"/>
      <c r="D11"/>
      <c r="E11"/>
      <c r="F11" s="81"/>
    </row>
    <row r="12" spans="1:8" ht="15" customHeight="1" x14ac:dyDescent="0.2">
      <c r="D12"/>
      <c r="E12"/>
      <c r="F12" s="81"/>
    </row>
    <row r="13" spans="1:8" ht="15" customHeight="1" thickBot="1" x14ac:dyDescent="0.25">
      <c r="A13" s="79" t="s">
        <v>54</v>
      </c>
      <c r="D13"/>
      <c r="E13"/>
      <c r="F13" s="81"/>
    </row>
    <row r="14" spans="1:8" ht="15" customHeight="1" thickTop="1" x14ac:dyDescent="0.2">
      <c r="A14" s="108" t="s">
        <v>70</v>
      </c>
      <c r="D14"/>
      <c r="E14"/>
      <c r="F14" s="81"/>
    </row>
    <row r="15" spans="1:8" ht="15" customHeight="1" x14ac:dyDescent="0.2">
      <c r="A15" s="108" t="s">
        <v>80</v>
      </c>
      <c r="D15"/>
      <c r="E15"/>
      <c r="F15"/>
    </row>
    <row r="16" spans="1:8" ht="15" customHeight="1" x14ac:dyDescent="0.2">
      <c r="D16"/>
      <c r="E16" s="82"/>
      <c r="F16" s="82"/>
      <c r="G16" s="108"/>
      <c r="H16" s="108"/>
    </row>
    <row r="17" spans="1:6" ht="15" customHeight="1" thickBot="1" x14ac:dyDescent="0.25">
      <c r="A17" s="79" t="s">
        <v>52</v>
      </c>
      <c r="D17" s="82"/>
      <c r="E17" s="83"/>
      <c r="F17" s="83"/>
    </row>
    <row r="18" spans="1:6" ht="15" customHeight="1" thickTop="1" x14ac:dyDescent="0.2">
      <c r="A18" t="s">
        <v>53</v>
      </c>
      <c r="D18" s="83"/>
      <c r="E18" s="81"/>
      <c r="F18" s="81"/>
    </row>
    <row r="19" spans="1:6" ht="15" customHeight="1" x14ac:dyDescent="0.2">
      <c r="D19" s="81"/>
      <c r="E19" s="81"/>
      <c r="F19" s="81"/>
    </row>
    <row r="20" spans="1:6" ht="15" customHeight="1" thickBot="1" x14ac:dyDescent="0.25">
      <c r="A20" s="79" t="s">
        <v>51</v>
      </c>
      <c r="D20" s="81"/>
      <c r="E20" s="81"/>
      <c r="F20" s="81"/>
    </row>
    <row r="21" spans="1:6" ht="15" customHeight="1" thickTop="1" x14ac:dyDescent="0.2">
      <c r="A21" t="s">
        <v>47</v>
      </c>
      <c r="D21" s="81"/>
      <c r="E21" s="81"/>
      <c r="F21" s="81"/>
    </row>
    <row r="22" spans="1:6" ht="15" customHeight="1" x14ac:dyDescent="0.2">
      <c r="A22" t="s">
        <v>48</v>
      </c>
      <c r="D22" s="81"/>
      <c r="E22" s="81"/>
      <c r="F22" s="81"/>
    </row>
    <row r="23" spans="1:6" ht="15" customHeight="1" x14ac:dyDescent="0.2">
      <c r="A23" t="s">
        <v>49</v>
      </c>
      <c r="D23" s="81"/>
      <c r="E23" s="81"/>
      <c r="F23" s="81"/>
    </row>
    <row r="24" spans="1:6" ht="15" customHeight="1" x14ac:dyDescent="0.2">
      <c r="A24" t="s">
        <v>50</v>
      </c>
      <c r="D24" s="81"/>
      <c r="E24" s="81"/>
      <c r="F24" s="81"/>
    </row>
    <row r="25" spans="1:6" ht="15" customHeight="1" x14ac:dyDescent="0.2">
      <c r="D25" s="81"/>
      <c r="E25" s="81"/>
      <c r="F25" s="81"/>
    </row>
    <row r="26" spans="1:6" ht="15" customHeight="1" x14ac:dyDescent="0.2">
      <c r="D26" s="81"/>
      <c r="E26" s="81"/>
      <c r="F26" s="81"/>
    </row>
    <row r="27" spans="1:6" ht="15" customHeight="1" x14ac:dyDescent="0.2">
      <c r="D27" s="81"/>
      <c r="E27" s="81"/>
      <c r="F27" s="81"/>
    </row>
    <row r="28" spans="1:6" ht="15" customHeight="1" x14ac:dyDescent="0.2">
      <c r="D28" s="81"/>
      <c r="E28" s="81"/>
      <c r="F28" s="81"/>
    </row>
    <row r="29" spans="1:6" ht="15" customHeight="1" x14ac:dyDescent="0.2">
      <c r="D29" s="81"/>
      <c r="E29" s="81"/>
      <c r="F29" s="81"/>
    </row>
    <row r="30" spans="1:6" ht="15" customHeight="1" x14ac:dyDescent="0.2">
      <c r="D30" s="81"/>
      <c r="E30" s="81"/>
      <c r="F30" s="81"/>
    </row>
    <row r="31" spans="1:6" ht="15" customHeight="1" x14ac:dyDescent="0.2">
      <c r="D31" s="81"/>
      <c r="E31" s="81"/>
      <c r="F31" s="81"/>
    </row>
    <row r="32" spans="1:6" ht="15" customHeight="1" x14ac:dyDescent="0.2">
      <c r="D32" s="81"/>
      <c r="E32" s="81"/>
      <c r="F32" s="81"/>
    </row>
    <row r="33" spans="4:6" ht="15" customHeight="1" x14ac:dyDescent="0.2">
      <c r="D33" s="81"/>
      <c r="E33" s="81"/>
      <c r="F33" s="81"/>
    </row>
    <row r="34" spans="4:6" ht="15" customHeight="1" x14ac:dyDescent="0.2">
      <c r="D34" s="81"/>
      <c r="E34" s="81"/>
      <c r="F34" s="81"/>
    </row>
    <row r="35" spans="4:6" ht="15" customHeight="1" x14ac:dyDescent="0.2">
      <c r="D35" s="81"/>
      <c r="E35" s="81"/>
      <c r="F35" s="81"/>
    </row>
    <row r="36" spans="4:6" ht="15" customHeight="1" x14ac:dyDescent="0.2">
      <c r="D36" s="81"/>
      <c r="E36" s="81"/>
      <c r="F36" s="81"/>
    </row>
    <row r="37" spans="4:6" ht="15" customHeight="1" x14ac:dyDescent="0.2">
      <c r="D37" s="81"/>
      <c r="E37" s="81"/>
      <c r="F37" s="81"/>
    </row>
    <row r="38" spans="4:6" ht="15" customHeight="1" x14ac:dyDescent="0.2">
      <c r="D38" s="81"/>
      <c r="E38" s="81"/>
      <c r="F38" s="81"/>
    </row>
    <row r="39" spans="4:6" ht="15" customHeight="1" x14ac:dyDescent="0.2">
      <c r="D39" s="81"/>
      <c r="E39" s="81"/>
      <c r="F39" s="81"/>
    </row>
    <row r="40" spans="4:6" ht="15" customHeight="1" x14ac:dyDescent="0.2">
      <c r="D40" s="81"/>
      <c r="E40" s="81"/>
      <c r="F40" s="81"/>
    </row>
    <row r="41" spans="4:6" ht="15" customHeight="1" x14ac:dyDescent="0.2">
      <c r="D41" s="81"/>
      <c r="E41" s="81"/>
      <c r="F41" s="81"/>
    </row>
    <row r="42" spans="4:6" ht="15" customHeight="1" x14ac:dyDescent="0.2">
      <c r="D42" s="81"/>
      <c r="E42" s="81"/>
      <c r="F42" s="81"/>
    </row>
    <row r="43" spans="4:6" ht="15" customHeight="1" x14ac:dyDescent="0.2">
      <c r="D43" s="81"/>
      <c r="E43" s="81"/>
      <c r="F43" s="81"/>
    </row>
    <row r="44" spans="4:6" ht="15" customHeight="1" x14ac:dyDescent="0.2">
      <c r="D44" s="81"/>
      <c r="E44" s="81"/>
      <c r="F44" s="81"/>
    </row>
    <row r="45" spans="4:6" ht="15" customHeight="1" x14ac:dyDescent="0.2">
      <c r="D45" s="81"/>
      <c r="E45" s="81"/>
      <c r="F45" s="81"/>
    </row>
    <row r="46" spans="4:6" ht="15" customHeight="1" x14ac:dyDescent="0.2">
      <c r="D46" s="81"/>
      <c r="E46" s="81"/>
      <c r="F46" s="81"/>
    </row>
    <row r="47" spans="4:6" ht="15" customHeight="1" x14ac:dyDescent="0.2">
      <c r="D47" s="81"/>
      <c r="E47" s="81"/>
      <c r="F47" s="81"/>
    </row>
    <row r="48" spans="4:6" ht="15" customHeight="1" x14ac:dyDescent="0.2">
      <c r="D48" s="81"/>
      <c r="E48" s="81"/>
      <c r="F48" s="81"/>
    </row>
    <row r="49" spans="4:6" ht="15" customHeight="1" x14ac:dyDescent="0.2">
      <c r="D49" s="81"/>
      <c r="E49" s="81"/>
      <c r="F49" s="81"/>
    </row>
    <row r="50" spans="4:6" ht="15" customHeight="1" x14ac:dyDescent="0.2">
      <c r="D50" s="81"/>
      <c r="E50" s="81"/>
      <c r="F50" s="81"/>
    </row>
    <row r="51" spans="4:6" ht="15" customHeight="1" x14ac:dyDescent="0.2">
      <c r="D51" s="81"/>
      <c r="E51" s="81"/>
      <c r="F51" s="81"/>
    </row>
    <row r="52" spans="4:6" ht="15" customHeight="1" x14ac:dyDescent="0.2">
      <c r="D52" s="81"/>
      <c r="E52" s="81"/>
      <c r="F52" s="81"/>
    </row>
    <row r="53" spans="4:6" ht="15" customHeight="1" x14ac:dyDescent="0.2">
      <c r="D53" s="81"/>
      <c r="E53" s="81"/>
      <c r="F53" s="81"/>
    </row>
    <row r="54" spans="4:6" ht="15" customHeight="1" x14ac:dyDescent="0.2">
      <c r="D54" s="81"/>
      <c r="E54" s="81"/>
      <c r="F54" s="81"/>
    </row>
    <row r="55" spans="4:6" ht="15" customHeight="1" x14ac:dyDescent="0.2">
      <c r="D55" s="81"/>
      <c r="E55" s="81"/>
      <c r="F55" s="81"/>
    </row>
    <row r="56" spans="4:6" ht="15" customHeight="1" x14ac:dyDescent="0.2">
      <c r="D56" s="81"/>
      <c r="E56" s="81"/>
      <c r="F56" s="81"/>
    </row>
    <row r="57" spans="4:6" ht="15" customHeight="1" x14ac:dyDescent="0.2">
      <c r="D57" s="81"/>
      <c r="E57" s="81"/>
      <c r="F57" s="81"/>
    </row>
    <row r="58" spans="4:6" ht="15" customHeight="1" x14ac:dyDescent="0.2">
      <c r="D58" s="81"/>
      <c r="E58" s="81"/>
      <c r="F58" s="81"/>
    </row>
    <row r="59" spans="4:6" ht="15" customHeight="1" x14ac:dyDescent="0.2">
      <c r="D59" s="81"/>
      <c r="E59" s="81"/>
      <c r="F59" s="81"/>
    </row>
    <row r="60" spans="4:6" ht="15" customHeight="1" x14ac:dyDescent="0.2">
      <c r="D60" s="81"/>
      <c r="E60" s="81"/>
      <c r="F60" s="81"/>
    </row>
    <row r="61" spans="4:6" ht="15" customHeight="1" x14ac:dyDescent="0.2">
      <c r="D61" s="81"/>
      <c r="E61" s="81"/>
      <c r="F61" s="81"/>
    </row>
    <row r="62" spans="4:6" ht="15" customHeight="1" x14ac:dyDescent="0.2">
      <c r="D62" s="81"/>
      <c r="E62" s="81"/>
      <c r="F62" s="81"/>
    </row>
    <row r="63" spans="4:6" ht="15" customHeight="1" x14ac:dyDescent="0.2">
      <c r="D63" s="81"/>
      <c r="E63" s="81"/>
      <c r="F63" s="81"/>
    </row>
    <row r="64" spans="4:6" ht="15" customHeight="1" x14ac:dyDescent="0.2">
      <c r="D64" s="81"/>
      <c r="E64" s="81"/>
      <c r="F64" s="81"/>
    </row>
    <row r="65" spans="4:6" ht="15" customHeight="1" x14ac:dyDescent="0.2">
      <c r="D65" s="81"/>
      <c r="E65" s="81"/>
      <c r="F65" s="81"/>
    </row>
    <row r="66" spans="4:6" ht="15" customHeight="1" x14ac:dyDescent="0.2">
      <c r="D66" s="81"/>
      <c r="E66" s="81"/>
      <c r="F66" s="81"/>
    </row>
    <row r="67" spans="4:6" ht="15" customHeight="1" x14ac:dyDescent="0.2">
      <c r="D67" s="81"/>
      <c r="E67" s="81"/>
      <c r="F67" s="81"/>
    </row>
    <row r="68" spans="4:6" ht="15" customHeight="1" x14ac:dyDescent="0.2">
      <c r="D68" s="81"/>
      <c r="E68" s="81"/>
      <c r="F68" s="81"/>
    </row>
    <row r="69" spans="4:6" ht="15" customHeight="1" x14ac:dyDescent="0.2">
      <c r="D69" s="81"/>
      <c r="E69" s="81"/>
      <c r="F69" s="81"/>
    </row>
    <row r="70" spans="4:6" ht="15" customHeight="1" x14ac:dyDescent="0.2">
      <c r="D70" s="81"/>
      <c r="E70" s="81"/>
      <c r="F70" s="81"/>
    </row>
    <row r="71" spans="4:6" ht="15" customHeight="1" x14ac:dyDescent="0.2">
      <c r="D71" s="81"/>
      <c r="E71" s="81"/>
      <c r="F71" s="81"/>
    </row>
    <row r="72" spans="4:6" ht="15" customHeight="1" x14ac:dyDescent="0.2">
      <c r="D72" s="81"/>
      <c r="E72" s="81"/>
      <c r="F72" s="81"/>
    </row>
    <row r="73" spans="4:6" ht="15" customHeight="1" x14ac:dyDescent="0.2">
      <c r="D73" s="81"/>
      <c r="E73" s="81"/>
      <c r="F73" s="81"/>
    </row>
    <row r="74" spans="4:6" ht="15" customHeight="1" x14ac:dyDescent="0.2">
      <c r="D74" s="81"/>
      <c r="E74" s="81"/>
      <c r="F74" s="81"/>
    </row>
    <row r="75" spans="4:6" ht="15" customHeight="1" x14ac:dyDescent="0.2">
      <c r="D75" s="81"/>
      <c r="E75" s="81"/>
      <c r="F75" s="81"/>
    </row>
    <row r="76" spans="4:6" ht="15" customHeight="1" x14ac:dyDescent="0.2">
      <c r="D76" s="81"/>
      <c r="E76" s="81"/>
      <c r="F76" s="81"/>
    </row>
    <row r="77" spans="4:6" ht="15" customHeight="1" x14ac:dyDescent="0.2">
      <c r="D77" s="81"/>
      <c r="E77" s="81"/>
      <c r="F77" s="81"/>
    </row>
    <row r="78" spans="4:6" ht="15" customHeight="1" x14ac:dyDescent="0.2">
      <c r="D78" s="81"/>
      <c r="E78" s="81"/>
      <c r="F78" s="81"/>
    </row>
    <row r="79" spans="4:6" ht="15" customHeight="1" x14ac:dyDescent="0.2">
      <c r="D79" s="81"/>
      <c r="E79" s="81"/>
      <c r="F79" s="81"/>
    </row>
    <row r="80" spans="4:6" ht="15" customHeight="1" x14ac:dyDescent="0.2">
      <c r="D80" s="81"/>
      <c r="E80" s="81"/>
      <c r="F80" s="81"/>
    </row>
    <row r="81" spans="4:6" ht="15" customHeight="1" x14ac:dyDescent="0.2">
      <c r="D81" s="81"/>
      <c r="E81" s="81"/>
      <c r="F81" s="81"/>
    </row>
    <row r="82" spans="4:6" ht="15" customHeight="1" x14ac:dyDescent="0.2">
      <c r="D82" s="81"/>
      <c r="E82" s="81"/>
      <c r="F82" s="81"/>
    </row>
    <row r="83" spans="4:6" ht="15" customHeight="1" x14ac:dyDescent="0.2">
      <c r="D83" s="81"/>
      <c r="E83" s="81"/>
      <c r="F83" s="81"/>
    </row>
    <row r="84" spans="4:6" ht="15" customHeight="1" x14ac:dyDescent="0.2">
      <c r="D84" s="81"/>
      <c r="E84" s="81"/>
      <c r="F84" s="81"/>
    </row>
    <row r="85" spans="4:6" ht="15" customHeight="1" x14ac:dyDescent="0.2">
      <c r="D85" s="81"/>
      <c r="E85" s="81"/>
      <c r="F85" s="81"/>
    </row>
    <row r="86" spans="4:6" ht="15" customHeight="1" x14ac:dyDescent="0.2">
      <c r="D86" s="81"/>
      <c r="E86" s="81"/>
      <c r="F86" s="81"/>
    </row>
    <row r="87" spans="4:6" ht="15" customHeight="1" x14ac:dyDescent="0.2">
      <c r="D87" s="81"/>
      <c r="E87" s="81"/>
      <c r="F87" s="81"/>
    </row>
    <row r="88" spans="4:6" ht="15" customHeight="1" x14ac:dyDescent="0.2">
      <c r="D88" s="81"/>
      <c r="E88" s="81"/>
      <c r="F88" s="81"/>
    </row>
    <row r="89" spans="4:6" ht="15" customHeight="1" x14ac:dyDescent="0.2">
      <c r="D89" s="81"/>
      <c r="E89" s="81"/>
      <c r="F89" s="81"/>
    </row>
    <row r="90" spans="4:6" ht="15" customHeight="1" x14ac:dyDescent="0.2">
      <c r="D90" s="81"/>
      <c r="E90" s="81"/>
      <c r="F90" s="81"/>
    </row>
    <row r="91" spans="4:6" ht="15" customHeight="1" x14ac:dyDescent="0.2">
      <c r="D91" s="81"/>
      <c r="E91" s="81"/>
      <c r="F91" s="81"/>
    </row>
    <row r="92" spans="4:6" ht="15" customHeight="1" x14ac:dyDescent="0.2">
      <c r="D92" s="81"/>
      <c r="E92" s="81"/>
      <c r="F92" s="81"/>
    </row>
    <row r="93" spans="4:6" ht="15" customHeight="1" x14ac:dyDescent="0.2">
      <c r="D93" s="81"/>
      <c r="E93" s="81"/>
      <c r="F93" s="81"/>
    </row>
    <row r="94" spans="4:6" ht="15" customHeight="1" x14ac:dyDescent="0.2">
      <c r="D94" s="81"/>
      <c r="E94" s="81"/>
      <c r="F94" s="81"/>
    </row>
    <row r="95" spans="4:6" ht="15" customHeight="1" x14ac:dyDescent="0.2">
      <c r="D95" s="81"/>
      <c r="E95" s="81"/>
      <c r="F95" s="81"/>
    </row>
    <row r="96" spans="4:6" ht="15" customHeight="1" x14ac:dyDescent="0.2">
      <c r="D96" s="81"/>
      <c r="E96" s="81"/>
      <c r="F96" s="81"/>
    </row>
    <row r="97" spans="4:6" ht="15" customHeight="1" x14ac:dyDescent="0.2">
      <c r="D97" s="81"/>
      <c r="E97" s="81"/>
      <c r="F97" s="81"/>
    </row>
    <row r="98" spans="4:6" ht="15" customHeight="1" x14ac:dyDescent="0.2">
      <c r="D98" s="81"/>
      <c r="E98" s="81"/>
      <c r="F98" s="81"/>
    </row>
    <row r="99" spans="4:6" ht="15" customHeight="1" x14ac:dyDescent="0.2">
      <c r="D99" s="81"/>
      <c r="E99" s="81"/>
      <c r="F99" s="81"/>
    </row>
    <row r="100" spans="4:6" ht="15" customHeight="1" x14ac:dyDescent="0.2">
      <c r="D100" s="81"/>
      <c r="E100" s="81"/>
      <c r="F100" s="81"/>
    </row>
    <row r="101" spans="4:6" ht="15" customHeight="1" x14ac:dyDescent="0.2">
      <c r="D101" s="81"/>
      <c r="E101" s="81"/>
      <c r="F101" s="81"/>
    </row>
    <row r="102" spans="4:6" ht="15" customHeight="1" x14ac:dyDescent="0.2">
      <c r="D102" s="81"/>
      <c r="E102" s="81"/>
      <c r="F102" s="81"/>
    </row>
    <row r="103" spans="4:6" ht="15" customHeight="1" x14ac:dyDescent="0.2">
      <c r="D103" s="81"/>
      <c r="E103" s="81"/>
      <c r="F103" s="81"/>
    </row>
    <row r="104" spans="4:6" ht="15" customHeight="1" x14ac:dyDescent="0.2">
      <c r="D104" s="81"/>
      <c r="E104" s="81"/>
      <c r="F104" s="81"/>
    </row>
    <row r="105" spans="4:6" ht="15" customHeight="1" x14ac:dyDescent="0.2">
      <c r="D105" s="81"/>
      <c r="E105" s="81"/>
      <c r="F105" s="81"/>
    </row>
    <row r="106" spans="4:6" ht="15" customHeight="1" x14ac:dyDescent="0.2">
      <c r="D106" s="81"/>
      <c r="E106" s="81"/>
      <c r="F106" s="81"/>
    </row>
    <row r="107" spans="4:6" ht="15" customHeight="1" x14ac:dyDescent="0.2">
      <c r="D107" s="81"/>
      <c r="E107" s="81"/>
      <c r="F107" s="81"/>
    </row>
    <row r="108" spans="4:6" ht="15" customHeight="1" x14ac:dyDescent="0.2">
      <c r="D108" s="81"/>
      <c r="E108" s="78"/>
      <c r="F108" s="78"/>
    </row>
    <row r="109" spans="4:6" ht="15" customHeight="1" x14ac:dyDescent="0.2">
      <c r="D109" s="78"/>
      <c r="E109" s="81"/>
      <c r="F109" s="81"/>
    </row>
    <row r="110" spans="4:6" ht="15" customHeight="1" x14ac:dyDescent="0.2">
      <c r="D110" s="81"/>
    </row>
  </sheetData>
  <mergeCells count="1">
    <mergeCell ref="C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7030A0"/>
    <pageSetUpPr autoPageBreaks="0" fitToPage="1"/>
  </sheetPr>
  <dimension ref="A1:W129"/>
  <sheetViews>
    <sheetView showGridLines="0" showRowColHeaders="0" tabSelected="1" topLeftCell="C1" zoomScaleNormal="100" workbookViewId="0">
      <pane ySplit="17" topLeftCell="A18" activePane="bottomLeft" state="frozen"/>
      <selection pane="bottomLeft"/>
    </sheetView>
  </sheetViews>
  <sheetFormatPr defaultColWidth="9.140625" defaultRowHeight="15" customHeight="1" x14ac:dyDescent="0.2"/>
  <cols>
    <col min="1" max="1" width="12.7109375" style="14" hidden="1" customWidth="1"/>
    <col min="2" max="2" width="12.7109375" style="77" hidden="1" customWidth="1"/>
    <col min="3" max="3" width="3.7109375" style="14" customWidth="1"/>
    <col min="4" max="4" width="13.7109375" style="17" customWidth="1"/>
    <col min="5" max="15" width="13.7109375" style="14" customWidth="1"/>
    <col min="16" max="16" width="9.140625" style="14" customWidth="1"/>
    <col min="17" max="16384" width="9.140625" style="14"/>
  </cols>
  <sheetData>
    <row r="1" spans="1:19" s="132" customFormat="1" ht="20.100000000000001" customHeight="1" x14ac:dyDescent="0.25">
      <c r="A1" s="143" t="s">
        <v>55</v>
      </c>
      <c r="B1" s="125" t="s">
        <v>55</v>
      </c>
      <c r="C1" s="119" t="s">
        <v>28</v>
      </c>
      <c r="D1" s="127" t="s">
        <v>36</v>
      </c>
      <c r="E1" s="130"/>
      <c r="F1" s="130"/>
      <c r="G1" s="130"/>
      <c r="H1" s="130"/>
      <c r="I1" s="130"/>
      <c r="J1" s="130"/>
      <c r="K1" s="131"/>
      <c r="M1" s="190" t="s">
        <v>10</v>
      </c>
      <c r="N1" s="190"/>
      <c r="O1" s="191"/>
    </row>
    <row r="2" spans="1:19" s="135" customFormat="1" ht="20.100000000000001" customHeight="1" x14ac:dyDescent="0.2">
      <c r="A2" s="144" t="s">
        <v>56</v>
      </c>
      <c r="B2" s="126" t="s">
        <v>56</v>
      </c>
      <c r="C2" s="133"/>
      <c r="D2" s="128" t="s">
        <v>35</v>
      </c>
      <c r="E2" s="133"/>
      <c r="F2" s="133"/>
      <c r="G2" s="133"/>
      <c r="H2" s="133"/>
      <c r="I2" s="133"/>
      <c r="J2" s="133"/>
      <c r="K2" s="134"/>
      <c r="M2" s="192" t="s">
        <v>11</v>
      </c>
      <c r="N2" s="192"/>
      <c r="O2" s="193"/>
    </row>
    <row r="3" spans="1:19" ht="15" customHeight="1" x14ac:dyDescent="0.2">
      <c r="A3" s="169" t="s">
        <v>75</v>
      </c>
      <c r="B3" s="170"/>
      <c r="C3" s="2"/>
      <c r="D3" s="3"/>
      <c r="E3" s="2"/>
      <c r="F3" s="2"/>
      <c r="G3" s="2"/>
      <c r="H3" s="2"/>
      <c r="I3" s="2"/>
      <c r="J3" s="2"/>
      <c r="K3" s="4"/>
      <c r="M3" s="115"/>
      <c r="N3" s="115"/>
      <c r="Q3" s="1"/>
      <c r="R3" s="1"/>
      <c r="S3" s="1"/>
    </row>
    <row r="4" spans="1:19" ht="15" customHeight="1" x14ac:dyDescent="0.2">
      <c r="A4" s="171" t="s">
        <v>73</v>
      </c>
      <c r="B4" s="172"/>
      <c r="C4" s="2"/>
      <c r="I4" s="194" t="s">
        <v>45</v>
      </c>
      <c r="J4" s="194"/>
      <c r="K4" s="194"/>
      <c r="M4" s="195" t="s">
        <v>30</v>
      </c>
      <c r="N4" s="195"/>
      <c r="O4" s="195"/>
      <c r="Q4" s="187" t="s">
        <v>71</v>
      </c>
      <c r="R4" s="187"/>
      <c r="S4" s="187"/>
    </row>
    <row r="5" spans="1:19" ht="15" customHeight="1" x14ac:dyDescent="0.2">
      <c r="A5" s="145" t="s">
        <v>78</v>
      </c>
      <c r="B5" s="142">
        <f>IF(G18&gt;0,IF(AND(E9="On Commencement",MONTH(D18)=MONTH(DateCommence),K9&lt;=BorrowingWriteOff),K9,K9/MIN(BorrowingMaxPeriod,K7)),0)</f>
        <v>0</v>
      </c>
      <c r="C5" s="2"/>
      <c r="D5" s="136" t="s">
        <v>0</v>
      </c>
      <c r="E5" s="179"/>
      <c r="F5" s="180"/>
      <c r="G5" s="181"/>
      <c r="I5" s="183" t="s">
        <v>1</v>
      </c>
      <c r="J5" s="184"/>
      <c r="K5" s="70"/>
      <c r="M5" s="150" t="s">
        <v>85</v>
      </c>
      <c r="N5" s="151" t="s">
        <v>86</v>
      </c>
      <c r="O5" s="152" t="s">
        <v>87</v>
      </c>
      <c r="Q5" s="188" t="s">
        <v>72</v>
      </c>
      <c r="R5" s="188"/>
      <c r="S5" s="188"/>
    </row>
    <row r="6" spans="1:19" ht="15" customHeight="1" x14ac:dyDescent="0.2">
      <c r="A6" s="145" t="s">
        <v>76</v>
      </c>
      <c r="B6" s="142">
        <f>IF(OR(B5=K9,G19=0),0,IF(AND(E9="On Commencement",MONTH(D19)=MONTH(DateCommence),K9&lt;=BorrowingWriteOff),K9,K9/MIN(BorrowingMaxPeriod,K7)))</f>
        <v>0</v>
      </c>
      <c r="C6" s="2"/>
      <c r="E6" s="2"/>
      <c r="F6" s="2"/>
      <c r="G6" s="2"/>
      <c r="I6" s="185" t="s">
        <v>63</v>
      </c>
      <c r="J6" s="186"/>
      <c r="K6" s="71"/>
      <c r="M6" s="147" t="str" cm="1">
        <f t="array" ref="M6">IFERROR(_xlfn._xlws.SORT(_xlfn.UNIQUE(_xlfn._xlws.FILTER(B18:B107, B18:B107&lt;&gt;""))),"")</f>
        <v/>
      </c>
      <c r="N6" s="148">
        <f>SUMIFS($F$18:$F$107, $D$18:$D$107, "&gt;=" &amp; DATE(M6-1, 7, 1), $D$18:$D$107, "&lt;=" &amp; DATE(M6, 6, 30))</f>
        <v>0</v>
      </c>
      <c r="O6" s="149">
        <f>SUMIFS($N$18:$N$107, $D$18:$D$107, "&gt;=" &amp; DATE(M6-1, 7, 1), $D$18:$D$107, "&lt;=" &amp; DATE(M6, 6, 30))</f>
        <v>0</v>
      </c>
      <c r="Q6" s="189"/>
      <c r="R6" s="189"/>
      <c r="S6" s="189"/>
    </row>
    <row r="7" spans="1:19" ht="15" customHeight="1" x14ac:dyDescent="0.2">
      <c r="A7" s="145" t="s">
        <v>77</v>
      </c>
      <c r="B7" s="142">
        <f>IF(OR(B5+B6=K9,G20=0),0,IF(AND(E9="On Commencement",MONTH(D20)=MONTH(DateCommence),K9&lt;=BorrowingWriteOff),K9,K9/MIN(BorrowingMaxPeriod,K7)))</f>
        <v>0</v>
      </c>
      <c r="C7" s="6"/>
      <c r="D7" s="136" t="s">
        <v>58</v>
      </c>
      <c r="E7" s="175"/>
      <c r="F7" s="176"/>
      <c r="G7" s="177"/>
      <c r="I7" s="185" t="s">
        <v>69</v>
      </c>
      <c r="J7" s="186"/>
      <c r="K7" s="36"/>
      <c r="M7" s="140"/>
      <c r="N7" s="63">
        <f>SUMIFS($F$18:$F$107, $D$18:$D$107, "&gt;=" &amp; DATE(M7-1, 7, 1), $D$18:$D$107, "&lt;=" &amp; DATE(M7, 6, 30))</f>
        <v>0</v>
      </c>
      <c r="O7" s="64">
        <f t="shared" ref="O7:O13" si="0">SUMIFS($N$18:$N$107, $D$18:$D$107, "&gt;=" &amp; DATE(M7-1, 7, 1), $D$18:$D$107, "&lt;=" &amp; DATE(M7, 6, 30))</f>
        <v>0</v>
      </c>
      <c r="Q7" s="189"/>
      <c r="R7" s="189"/>
      <c r="S7" s="189"/>
    </row>
    <row r="8" spans="1:19" ht="15" customHeight="1" x14ac:dyDescent="0.2">
      <c r="A8" s="171" t="s">
        <v>74</v>
      </c>
      <c r="B8" s="172"/>
      <c r="C8" s="6"/>
      <c r="E8" s="113"/>
      <c r="F8" s="114"/>
      <c r="G8" s="5"/>
      <c r="I8" s="185" t="s">
        <v>64</v>
      </c>
      <c r="J8" s="186"/>
      <c r="K8" s="71"/>
      <c r="M8" s="140"/>
      <c r="N8" s="63">
        <f t="shared" ref="N8:N13" si="1">SUMIFS($F$18:$F$107, $D$18:$D$107, "&gt;=" &amp; DATE(M8-1, 7, 1), $D$18:$D$107, "&lt;=" &amp; DATE(M8, 6, 30))</f>
        <v>0</v>
      </c>
      <c r="O8" s="64">
        <f t="shared" si="0"/>
        <v>0</v>
      </c>
      <c r="Q8" s="189"/>
      <c r="R8" s="189"/>
      <c r="S8" s="189"/>
    </row>
    <row r="9" spans="1:19" ht="15" customHeight="1" x14ac:dyDescent="0.2">
      <c r="A9" s="145" t="s">
        <v>78</v>
      </c>
      <c r="B9" s="142">
        <v>0</v>
      </c>
      <c r="C9" s="6"/>
      <c r="D9" s="136" t="s">
        <v>5</v>
      </c>
      <c r="E9" s="175" t="s">
        <v>81</v>
      </c>
      <c r="F9" s="176"/>
      <c r="G9" s="177"/>
      <c r="I9" s="185" t="s">
        <v>26</v>
      </c>
      <c r="J9" s="186"/>
      <c r="K9" s="71"/>
      <c r="M9" s="140"/>
      <c r="N9" s="63">
        <f t="shared" si="1"/>
        <v>0</v>
      </c>
      <c r="O9" s="64">
        <f t="shared" si="0"/>
        <v>0</v>
      </c>
      <c r="Q9" s="139"/>
      <c r="R9" s="139"/>
      <c r="S9" s="139"/>
    </row>
    <row r="10" spans="1:19" ht="15" customHeight="1" x14ac:dyDescent="0.2">
      <c r="A10" s="145" t="s">
        <v>76</v>
      </c>
      <c r="B10" s="142">
        <f>IF(G19=0,0,IF(AND(OR($E$9="Please Select",E9="One Month From Commencement"),MONTH(D19)=MONTH(DateCommence)+1,K9&lt;=BorrowingWriteOff),K9,K9/MIN(BorrowingMaxPeriod,K7)))</f>
        <v>0</v>
      </c>
      <c r="C10" s="6"/>
      <c r="F10" s="114"/>
      <c r="G10" s="5"/>
      <c r="I10" s="185" t="s">
        <v>6</v>
      </c>
      <c r="J10" s="186"/>
      <c r="K10" s="72"/>
      <c r="M10" s="140"/>
      <c r="N10" s="63">
        <f t="shared" si="1"/>
        <v>0</v>
      </c>
      <c r="O10" s="64">
        <f t="shared" si="0"/>
        <v>0</v>
      </c>
      <c r="Q10" s="124"/>
      <c r="R10" s="124"/>
      <c r="S10" s="124"/>
    </row>
    <row r="11" spans="1:19" x14ac:dyDescent="0.2">
      <c r="A11" s="145" t="s">
        <v>77</v>
      </c>
      <c r="B11" s="142">
        <f>IF(OR(B9+B10=K9,G20=0),0,IF(AND(OR(E9="Please Select",E9="One Month From Commencement"),MONTH(D20)=MONTH(DateCommence)+1,K9&lt;=BorrowingWriteOff),K9,K9/MIN(BorrowingMaxPeriod,K7)))</f>
        <v>0</v>
      </c>
      <c r="C11" s="6"/>
      <c r="D11" s="178" t="s">
        <v>4</v>
      </c>
      <c r="E11" s="178"/>
      <c r="G11" s="62">
        <f>IF(AND(K5&gt;0,(K6*K7)+K8&gt;K5),RATE(K7,K6,-K5,K8,IF(E9="On Commencement",1,0)),0)</f>
        <v>0</v>
      </c>
      <c r="H11" s="8"/>
      <c r="I11" s="9"/>
      <c r="J11" s="9"/>
      <c r="K11" s="6"/>
      <c r="M11" s="140"/>
      <c r="N11" s="63">
        <f t="shared" si="1"/>
        <v>0</v>
      </c>
      <c r="O11" s="64">
        <f t="shared" si="0"/>
        <v>0</v>
      </c>
      <c r="Q11" s="124"/>
      <c r="R11" s="124"/>
      <c r="S11" s="124"/>
    </row>
    <row r="12" spans="1:19" ht="15" customHeight="1" x14ac:dyDescent="0.2">
      <c r="A12" s="173" t="s">
        <v>79</v>
      </c>
      <c r="B12" s="173"/>
      <c r="C12" s="6"/>
      <c r="D12" s="14"/>
      <c r="F12" s="8"/>
      <c r="I12" s="182" t="str">
        <f>IF(AND(K5&gt;0,K6&gt;0,K7&gt;0),IF((K6*K7)+K8&lt;=K5,"There is no interest to calculate because regular repayments plus any balloon do not exceed the amount borrowed",""),"")</f>
        <v/>
      </c>
      <c r="J12" s="182"/>
      <c r="K12" s="182"/>
      <c r="M12" s="140"/>
      <c r="N12" s="63">
        <f t="shared" si="1"/>
        <v>0</v>
      </c>
      <c r="O12" s="64">
        <f t="shared" si="0"/>
        <v>0</v>
      </c>
      <c r="Q12" s="124"/>
      <c r="R12" s="124"/>
      <c r="S12" s="124"/>
    </row>
    <row r="13" spans="1:19" x14ac:dyDescent="0.2">
      <c r="A13" s="129" t="s">
        <v>62</v>
      </c>
      <c r="B13" s="120">
        <f>EOMONTH(DateCommence,B15-1)</f>
        <v>31</v>
      </c>
      <c r="C13" s="6"/>
      <c r="D13" s="178" t="s">
        <v>12</v>
      </c>
      <c r="E13" s="178"/>
      <c r="G13" s="62">
        <f>IF(G11&gt;0,EFFECT(G11*12,12),0)</f>
        <v>0</v>
      </c>
      <c r="H13" s="9"/>
      <c r="I13" s="182"/>
      <c r="J13" s="182"/>
      <c r="K13" s="182"/>
      <c r="M13" s="141"/>
      <c r="N13" s="153">
        <f t="shared" si="1"/>
        <v>0</v>
      </c>
      <c r="O13" s="154">
        <f t="shared" si="0"/>
        <v>0</v>
      </c>
      <c r="Q13" s="124"/>
      <c r="R13" s="124"/>
      <c r="S13" s="124"/>
    </row>
    <row r="14" spans="1:19" ht="15" customHeight="1" x14ac:dyDescent="0.2">
      <c r="C14" s="6"/>
      <c r="G14" s="8"/>
      <c r="H14" s="9"/>
      <c r="I14" s="182"/>
      <c r="J14" s="182"/>
      <c r="K14" s="182"/>
      <c r="M14" s="37" t="s">
        <v>9</v>
      </c>
      <c r="N14" s="160">
        <f>SUM(N6:N13)</f>
        <v>0</v>
      </c>
      <c r="O14" s="161">
        <f>SUM(O6:O13)</f>
        <v>0</v>
      </c>
      <c r="Q14" s="124"/>
      <c r="R14" s="124"/>
      <c r="S14" s="124"/>
    </row>
    <row r="15" spans="1:19" ht="20.100000000000001" customHeight="1" x14ac:dyDescent="0.2">
      <c r="A15" s="129" t="s">
        <v>60</v>
      </c>
      <c r="B15" s="121">
        <f>K7+IF(OR(E9="One Month From Commencement",E9="Please Select"),1,0)+IF(K8&gt;0,1,0)</f>
        <v>1</v>
      </c>
      <c r="C15" s="6"/>
      <c r="D15" s="10"/>
      <c r="E15" s="6"/>
      <c r="F15" s="6"/>
      <c r="G15" s="6"/>
      <c r="H15" s="5"/>
      <c r="I15" s="5"/>
      <c r="J15" s="5"/>
      <c r="K15" s="5"/>
      <c r="L15" s="11"/>
      <c r="M15" s="11"/>
      <c r="N15" s="11"/>
      <c r="Q15" s="124"/>
      <c r="R15" s="124"/>
      <c r="S15" s="124"/>
    </row>
    <row r="16" spans="1:19" s="15" customFormat="1" ht="19.5" customHeight="1" x14ac:dyDescent="0.2">
      <c r="C16" s="12"/>
      <c r="D16" s="174" t="s">
        <v>7</v>
      </c>
      <c r="E16" s="174"/>
      <c r="F16" s="174"/>
      <c r="G16" s="174"/>
      <c r="H16" s="174"/>
      <c r="I16" s="174" t="s">
        <v>2</v>
      </c>
      <c r="J16" s="174"/>
      <c r="K16" s="174"/>
      <c r="L16" s="174" t="s">
        <v>3</v>
      </c>
      <c r="M16" s="174"/>
      <c r="N16" s="174" t="s">
        <v>26</v>
      </c>
      <c r="O16" s="174"/>
      <c r="Q16" s="124"/>
      <c r="R16" s="124"/>
      <c r="S16" s="124"/>
    </row>
    <row r="17" spans="1:23" s="16" customFormat="1" ht="27" customHeight="1" x14ac:dyDescent="0.2">
      <c r="A17" s="122" t="s">
        <v>61</v>
      </c>
      <c r="B17" s="122" t="s">
        <v>59</v>
      </c>
      <c r="C17" s="13"/>
      <c r="D17" s="155" t="s">
        <v>88</v>
      </c>
      <c r="E17" s="150" t="s">
        <v>89</v>
      </c>
      <c r="F17" s="151" t="s">
        <v>90</v>
      </c>
      <c r="G17" s="151" t="s">
        <v>91</v>
      </c>
      <c r="H17" s="152" t="s">
        <v>92</v>
      </c>
      <c r="I17" s="150" t="s">
        <v>93</v>
      </c>
      <c r="J17" s="151" t="s">
        <v>94</v>
      </c>
      <c r="K17" s="152" t="s">
        <v>95</v>
      </c>
      <c r="L17" s="150" t="s">
        <v>96</v>
      </c>
      <c r="M17" s="152" t="s">
        <v>97</v>
      </c>
      <c r="N17" s="150" t="s">
        <v>98</v>
      </c>
      <c r="O17" s="152" t="s">
        <v>99</v>
      </c>
      <c r="P17" s="124"/>
      <c r="Q17" s="124"/>
      <c r="R17" s="124"/>
      <c r="S17" s="124"/>
      <c r="V17" s="124"/>
    </row>
    <row r="18" spans="1:23" ht="15" customHeight="1" x14ac:dyDescent="0.2">
      <c r="B18" s="117" t="str">
        <f>IF(D18=0, "", YEAR(D18) + IF(MONTH(D18) &gt;= 7, 1, 0))</f>
        <v/>
      </c>
      <c r="C18" s="6"/>
      <c r="D18" s="47">
        <f>IF($K$10&gt;0,IF(MONTH($K$10)=1,EOMONTH($K$10,0),0)+IF(MONTH($K$10)=4,EOMONTH($K$10,0),0)+IF(MONTH($K$10)=7,EOMONTH($K$10,0),0)+IF(MONTH($K$10)=10,EOMONTH($K$10,0),0),0)</f>
        <v>0</v>
      </c>
      <c r="E18" s="48">
        <f>IF(D18&gt;0,K5,0)</f>
        <v>0</v>
      </c>
      <c r="F18" s="49"/>
      <c r="G18" s="50">
        <f>IF(DateCommence&gt;0,IF(AND(D18&gt;0,$E$9="On Commencement"),$K$6,0),0)</f>
        <v>0</v>
      </c>
      <c r="H18" s="51">
        <f t="shared" ref="H18:H49" si="2">IF(D18&gt;0,ROUND(E18+F18-G18,8),0)</f>
        <v>0</v>
      </c>
      <c r="I18" s="48">
        <f>IF(D18&gt;0,($K$6*$K$7)+$K$8-G18,0)</f>
        <v>0</v>
      </c>
      <c r="J18" s="50">
        <f t="shared" ref="J18:J49" si="3">IF(I18&gt;0,SUM(G19:G30),0)</f>
        <v>0</v>
      </c>
      <c r="K18" s="51">
        <f t="shared" ref="K18:K49" si="4">IF(I18&gt;J18,I18-J18,0)</f>
        <v>0</v>
      </c>
      <c r="L18" s="48">
        <f>IF(I18&gt;0,SUM(F19:F30),0)</f>
        <v>0</v>
      </c>
      <c r="M18" s="51">
        <f>IF(I18&gt;0,SUM(F31:$F$107),0)</f>
        <v>0</v>
      </c>
      <c r="N18" s="48">
        <f>IF(E9=A4,B5,IF(E9=A8,B9,0))</f>
        <v>0</v>
      </c>
      <c r="O18" s="110">
        <f>IF(G18&gt;0,$K$9-N18,IF(D18&gt;0,K9-N18,0))</f>
        <v>0</v>
      </c>
      <c r="P18" s="124"/>
      <c r="Q18" s="124"/>
      <c r="R18" s="124"/>
      <c r="S18" s="124"/>
      <c r="T18" s="124"/>
      <c r="U18" s="124"/>
      <c r="V18" s="124"/>
      <c r="W18" s="124"/>
    </row>
    <row r="19" spans="1:23" ht="15" customHeight="1" x14ac:dyDescent="0.2">
      <c r="B19" s="117" t="str">
        <f t="shared" ref="B19:B82" si="5">IF(D19=0, "", YEAR(D19) + IF(MONTH(D19) &gt;= 7, 1, 0))</f>
        <v/>
      </c>
      <c r="C19" s="6"/>
      <c r="D19" s="38">
        <f>IF(AND(K10&gt;0,D18&gt;0),EOMONTH(D18,1),IF(MONTH($K$10)=2,EOMONTH($K$10,0),0)+IF(MONTH($K$10)=5,EOMONTH($K$10,0),0)+IF(MONTH($K$10)=8,EOMONTH($K$10,0),0)+IF(MONTH($K$10)=11,EOMONTH($K$10,0),0))</f>
        <v>0</v>
      </c>
      <c r="E19" s="39">
        <f>IF(H18&gt;0,H18,IF(D19&gt;0,K5,0))</f>
        <v>0</v>
      </c>
      <c r="F19" s="40">
        <f>IF(AND(E19&gt;0,E18&gt;0),E19*$G$11,0)</f>
        <v>0</v>
      </c>
      <c r="G19" s="40">
        <f>IF(DateCommence&gt;0,IF(AND(D18&gt;0,D19&gt;0),$K$6,IF(AND(D19&gt;0,E9="On Commencement"),$K$6,0)),0)</f>
        <v>0</v>
      </c>
      <c r="H19" s="41">
        <f t="shared" si="2"/>
        <v>0</v>
      </c>
      <c r="I19" s="39">
        <f>IF(I18&gt;0,I18-G19,IF(D19&gt;0,(K6*K7)+K8-G19,0))</f>
        <v>0</v>
      </c>
      <c r="J19" s="40">
        <f t="shared" si="3"/>
        <v>0</v>
      </c>
      <c r="K19" s="41">
        <f t="shared" si="4"/>
        <v>0</v>
      </c>
      <c r="L19" s="39">
        <f>IF(I19&gt;0,SUM(F20:F31),0)</f>
        <v>0</v>
      </c>
      <c r="M19" s="41">
        <f>IF(I19&gt;0,SUM(F32:$F$107),0)</f>
        <v>0</v>
      </c>
      <c r="N19" s="39">
        <f>IF(E9=A4,B6,IF(OR(E9="Please Select",E9=A8),B10,0))</f>
        <v>0</v>
      </c>
      <c r="O19" s="111">
        <f>IF(G19&gt;0,$K$9-SUM($N$18:N19),IF(D19&gt;0,K9-SUM(N18:N19),0))</f>
        <v>0</v>
      </c>
      <c r="P19" s="124"/>
      <c r="Q19" s="124"/>
      <c r="R19" s="124"/>
      <c r="S19" s="124"/>
      <c r="T19" s="124"/>
      <c r="U19" s="124"/>
      <c r="V19" s="124"/>
      <c r="W19" s="124"/>
    </row>
    <row r="20" spans="1:23" ht="15" customHeight="1" x14ac:dyDescent="0.2">
      <c r="B20" s="117" t="str">
        <f t="shared" si="5"/>
        <v/>
      </c>
      <c r="C20" s="6"/>
      <c r="D20" s="58">
        <f>IF(AND(K10&gt;0,D19&gt;0),EOMONTH(D19,1),IF(MONTH($K$10)=3,EOMONTH($K$10,0),0)+IF(MONTH($K$10)=6,EOMONTH($K$10,0),0)+IF(MONTH($K$10)=9,EOMONTH($K$10,0),0)+IF(MONTH($K$10)=12,EOMONTH($K$10,0),0))</f>
        <v>0</v>
      </c>
      <c r="E20" s="59">
        <f>IF(H19&gt;0,H19,IF(D20&gt;0,$K$5,0))</f>
        <v>0</v>
      </c>
      <c r="F20" s="60">
        <f>IF(AND(E20&gt;0,E19&gt;0),E20*$G$11,0)</f>
        <v>0</v>
      </c>
      <c r="G20" s="60">
        <f>IF(DateCommence&gt;0,IF(D19&gt;0,$K$6,IF(AND(D20&gt;0,$E$9="On Commencement"),$K$6,0)),0)</f>
        <v>0</v>
      </c>
      <c r="H20" s="61">
        <f t="shared" si="2"/>
        <v>0</v>
      </c>
      <c r="I20" s="59">
        <f>IF(K10&gt;0,IF(I19&gt;0,I19-G20,(K6*K7)+K8-G20),0)</f>
        <v>0</v>
      </c>
      <c r="J20" s="60">
        <f t="shared" si="3"/>
        <v>0</v>
      </c>
      <c r="K20" s="61">
        <f t="shared" si="4"/>
        <v>0</v>
      </c>
      <c r="L20" s="59">
        <f t="shared" ref="L20:L51" si="6">SUM(F21:F32)</f>
        <v>0</v>
      </c>
      <c r="M20" s="61">
        <f>IF(I20&gt;0,SUM(F33:$F$107),0)</f>
        <v>0</v>
      </c>
      <c r="N20" s="59">
        <f>IF(E9=A4,B7,IF(OR(E9="Please Select",E9=A8),B11,0))</f>
        <v>0</v>
      </c>
      <c r="O20" s="112">
        <f>IF(G20&gt;0,$K$9-SUM($N$18:N20),IF(D20&gt;0,K9-SUM(N18:N20),0))</f>
        <v>0</v>
      </c>
      <c r="P20" s="124"/>
      <c r="Q20" s="124"/>
      <c r="R20" s="124"/>
      <c r="S20" s="124"/>
      <c r="T20" s="124"/>
      <c r="U20" s="124"/>
      <c r="V20" s="124"/>
      <c r="W20" s="124"/>
    </row>
    <row r="21" spans="1:23" ht="15" customHeight="1" x14ac:dyDescent="0.2">
      <c r="A21" s="116" t="str">
        <f>IF(D21&lt;&gt;0,0,"blank")</f>
        <v>blank</v>
      </c>
      <c r="B21" s="117" t="str">
        <f t="shared" si="5"/>
        <v/>
      </c>
      <c r="C21" s="6"/>
      <c r="D21" s="47">
        <f>IF(DateCommence&gt;0,IF(COUNTIF($D$18:D20,"&gt;0")&lt;$B$15,EOMONTH(D20,1),0),0)</f>
        <v>0</v>
      </c>
      <c r="E21" s="48">
        <f t="shared" ref="E21:E52" si="7">IF(AND(H20&gt;0,D21&gt;0),H20,0)</f>
        <v>0</v>
      </c>
      <c r="F21" s="50">
        <f t="shared" ref="F21:F52" si="8">IF(AND($K$8&gt;0,OR($E$9="One Month From Commencement",$E$9="Please Select"),D21=$B$13),0,E21*$G$11)</f>
        <v>0</v>
      </c>
      <c r="G21" s="50">
        <f>IF(COUNTIF($G$18:G20,"&gt;0")&lt;$K$7,$K$6,0)+IF(AND($K$8&gt;0,D21=$B$13),$K$8,0)</f>
        <v>0</v>
      </c>
      <c r="H21" s="51">
        <f t="shared" si="2"/>
        <v>0</v>
      </c>
      <c r="I21" s="57">
        <f t="shared" ref="I21:I52" si="9">ROUND(I20-G21,2)</f>
        <v>0</v>
      </c>
      <c r="J21" s="50">
        <f t="shared" si="3"/>
        <v>0</v>
      </c>
      <c r="K21" s="51">
        <f t="shared" si="4"/>
        <v>0</v>
      </c>
      <c r="L21" s="48">
        <f t="shared" si="6"/>
        <v>0</v>
      </c>
      <c r="M21" s="51">
        <f>IF(I21&gt;0,SUM(F34:$F$107),0)</f>
        <v>0</v>
      </c>
      <c r="N21" s="48">
        <f>IF(AND(MONTH(DateCommence)=MONTH(D20),OR(E9="Please Select",E9="One Month From Commencement"),K9&lt;=BorrowingWriteOff),K9,IF(SUM($N$18:N20)&lt;$K$9,$K$9/MIN(BorrowingMaxPeriod,$K$7),0))</f>
        <v>0</v>
      </c>
      <c r="O21" s="110">
        <f>IF(G21&gt;0,$K$9-SUM($N$18:N21),0)</f>
        <v>0</v>
      </c>
      <c r="P21" s="124"/>
      <c r="Q21" s="124"/>
      <c r="R21" s="124"/>
      <c r="S21" s="124"/>
      <c r="T21" s="124"/>
      <c r="U21" s="124"/>
      <c r="V21" s="124"/>
      <c r="W21" s="124"/>
    </row>
    <row r="22" spans="1:23" ht="15" customHeight="1" x14ac:dyDescent="0.2">
      <c r="A22" s="116" t="str">
        <f t="shared" ref="A22:A85" si="10">IF(D22&lt;&gt;0,0,"blank")</f>
        <v>blank</v>
      </c>
      <c r="B22" s="117" t="str">
        <f t="shared" si="5"/>
        <v/>
      </c>
      <c r="C22" s="6"/>
      <c r="D22" s="38">
        <f>IF(DateCommence&gt;0,IF(COUNTIF($D$18:D21,"&gt;0")&lt;$B$15,EOMONTH(D21,1),0),0)</f>
        <v>0</v>
      </c>
      <c r="E22" s="39">
        <f t="shared" si="7"/>
        <v>0</v>
      </c>
      <c r="F22" s="40">
        <f t="shared" si="8"/>
        <v>0</v>
      </c>
      <c r="G22" s="40">
        <f>IF(COUNTIF($G$18:G21,"&gt;0")&lt;$K$7,$K$6,0)+IF(AND($K$8&gt;0,D22=$B$13),$K$8,0)</f>
        <v>0</v>
      </c>
      <c r="H22" s="41">
        <f t="shared" si="2"/>
        <v>0</v>
      </c>
      <c r="I22" s="44">
        <f t="shared" si="9"/>
        <v>0</v>
      </c>
      <c r="J22" s="40">
        <f t="shared" si="3"/>
        <v>0</v>
      </c>
      <c r="K22" s="41">
        <f t="shared" si="4"/>
        <v>0</v>
      </c>
      <c r="L22" s="39">
        <f t="shared" si="6"/>
        <v>0</v>
      </c>
      <c r="M22" s="41">
        <f>IF(I22&gt;0,SUM(F35:$F$107),0)</f>
        <v>0</v>
      </c>
      <c r="N22" s="39">
        <f>IF(AND($K$9&gt;BorrowingWriteOff,COUNTIF($N$18:N21,"&gt;0")&lt;MIN(BorrowingMaxPeriod,$K$7)),$K$9/MIN(BorrowingMaxPeriod,$K$7),0)</f>
        <v>0</v>
      </c>
      <c r="O22" s="111">
        <f>IF(G22&gt;0,$K$9-SUM($N$18:N22),0)</f>
        <v>0</v>
      </c>
      <c r="P22" s="124"/>
      <c r="Q22" s="124"/>
      <c r="R22" s="124"/>
      <c r="S22" s="124"/>
      <c r="T22" s="124"/>
      <c r="U22" s="124"/>
      <c r="V22" s="124"/>
      <c r="W22" s="124"/>
    </row>
    <row r="23" spans="1:23" ht="15" customHeight="1" x14ac:dyDescent="0.2">
      <c r="A23" s="116" t="str">
        <f t="shared" si="10"/>
        <v>blank</v>
      </c>
      <c r="B23" s="117" t="str">
        <f t="shared" si="5"/>
        <v/>
      </c>
      <c r="C23" s="6"/>
      <c r="D23" s="58">
        <f>IF(DateCommence&gt;0,IF(COUNTIF($D$18:D22,"&gt;0")&lt;$B$15,EOMONTH(D22,1),0),0)</f>
        <v>0</v>
      </c>
      <c r="E23" s="59">
        <f t="shared" si="7"/>
        <v>0</v>
      </c>
      <c r="F23" s="60">
        <f t="shared" si="8"/>
        <v>0</v>
      </c>
      <c r="G23" s="60">
        <f>IF(COUNTIF($G$18:G22,"&gt;0")&lt;$K$7,$K$6,0)+IF(AND($K$8&gt;0,D23=$B$13),$K$8,0)</f>
        <v>0</v>
      </c>
      <c r="H23" s="61">
        <f t="shared" si="2"/>
        <v>0</v>
      </c>
      <c r="I23" s="45">
        <f t="shared" si="9"/>
        <v>0</v>
      </c>
      <c r="J23" s="60">
        <f t="shared" si="3"/>
        <v>0</v>
      </c>
      <c r="K23" s="61">
        <f t="shared" si="4"/>
        <v>0</v>
      </c>
      <c r="L23" s="59">
        <f t="shared" si="6"/>
        <v>0</v>
      </c>
      <c r="M23" s="61">
        <f>IF(I23&gt;0,SUM(F36:$F$107),0)</f>
        <v>0</v>
      </c>
      <c r="N23" s="59">
        <f>IF(AND($K$9&gt;BorrowingWriteOff,COUNTIF($N$18:N22,"&gt;0")&lt;MIN(BorrowingMaxPeriod,$K$7)),$K$9/MIN(BorrowingMaxPeriod,$K$7),0)</f>
        <v>0</v>
      </c>
      <c r="O23" s="112">
        <f>IF(G23&gt;0,$K$9-SUM($N$18:N23),0)</f>
        <v>0</v>
      </c>
      <c r="P23" s="124"/>
      <c r="Q23" s="124"/>
      <c r="R23" s="124"/>
      <c r="S23" s="124"/>
      <c r="T23" s="124"/>
      <c r="U23" s="124"/>
      <c r="V23" s="124"/>
      <c r="W23" s="124"/>
    </row>
    <row r="24" spans="1:23" ht="15" customHeight="1" x14ac:dyDescent="0.2">
      <c r="A24" s="116" t="str">
        <f t="shared" si="10"/>
        <v>blank</v>
      </c>
      <c r="B24" s="117" t="str">
        <f t="shared" si="5"/>
        <v/>
      </c>
      <c r="C24" s="6"/>
      <c r="D24" s="47">
        <f>IF(DateCommence&gt;0,IF(COUNTIF($D$18:D23,"&gt;0")&lt;$B$15,EOMONTH(D23,1),0),0)</f>
        <v>0</v>
      </c>
      <c r="E24" s="48">
        <f t="shared" si="7"/>
        <v>0</v>
      </c>
      <c r="F24" s="50">
        <f t="shared" si="8"/>
        <v>0</v>
      </c>
      <c r="G24" s="50">
        <f>IF(COUNTIF($G$18:G23,"&gt;0")&lt;$K$7,$K$6,0)+IF(AND($K$8&gt;0,D24=$B$13),$K$8,0)</f>
        <v>0</v>
      </c>
      <c r="H24" s="51">
        <f t="shared" si="2"/>
        <v>0</v>
      </c>
      <c r="I24" s="57">
        <f t="shared" si="9"/>
        <v>0</v>
      </c>
      <c r="J24" s="50">
        <f t="shared" si="3"/>
        <v>0</v>
      </c>
      <c r="K24" s="51">
        <f t="shared" si="4"/>
        <v>0</v>
      </c>
      <c r="L24" s="48">
        <f t="shared" si="6"/>
        <v>0</v>
      </c>
      <c r="M24" s="51">
        <f>IF(I24&gt;0,SUM(F37:$F$107),0)</f>
        <v>0</v>
      </c>
      <c r="N24" s="48">
        <f>IF(AND($K$9&gt;BorrowingWriteOff,COUNTIF($N$18:N23,"&gt;0")&lt;MIN(BorrowingMaxPeriod,$K$7)),$K$9/MIN(BorrowingMaxPeriod,$K$7),0)</f>
        <v>0</v>
      </c>
      <c r="O24" s="110">
        <f>IF(G24&gt;0,$K$9-SUM($N$18:N24),0)</f>
        <v>0</v>
      </c>
      <c r="P24" s="124"/>
      <c r="Q24" s="124"/>
      <c r="R24" s="124"/>
      <c r="S24" s="124"/>
      <c r="T24" s="124"/>
      <c r="U24" s="124"/>
      <c r="V24" s="124"/>
      <c r="W24" s="124"/>
    </row>
    <row r="25" spans="1:23" ht="15" customHeight="1" x14ac:dyDescent="0.2">
      <c r="A25" s="116" t="str">
        <f t="shared" si="10"/>
        <v>blank</v>
      </c>
      <c r="B25" s="117" t="str">
        <f t="shared" si="5"/>
        <v/>
      </c>
      <c r="C25" s="6"/>
      <c r="D25" s="38">
        <f>IF(DateCommence&gt;0,IF(COUNTIF($D$18:D24,"&gt;0")&lt;$B$15,EOMONTH(D24,1),0),0)</f>
        <v>0</v>
      </c>
      <c r="E25" s="39">
        <f t="shared" si="7"/>
        <v>0</v>
      </c>
      <c r="F25" s="40">
        <f t="shared" si="8"/>
        <v>0</v>
      </c>
      <c r="G25" s="40">
        <f>IF(COUNTIF($G$18:G24,"&gt;0")&lt;$K$7,$K$6,0)+IF(AND($K$8&gt;0,D25=$B$13),$K$8,0)</f>
        <v>0</v>
      </c>
      <c r="H25" s="41">
        <f t="shared" si="2"/>
        <v>0</v>
      </c>
      <c r="I25" s="44">
        <f t="shared" si="9"/>
        <v>0</v>
      </c>
      <c r="J25" s="40">
        <f t="shared" si="3"/>
        <v>0</v>
      </c>
      <c r="K25" s="41">
        <f t="shared" si="4"/>
        <v>0</v>
      </c>
      <c r="L25" s="39">
        <f t="shared" si="6"/>
        <v>0</v>
      </c>
      <c r="M25" s="41">
        <f>IF(I25&gt;0,SUM(F38:$F$107),0)</f>
        <v>0</v>
      </c>
      <c r="N25" s="39">
        <f>IF(AND($K$9&gt;BorrowingWriteOff,COUNTIF($N$18:N24,"&gt;0")&lt;MIN(BorrowingMaxPeriod,$K$7)),$K$9/MIN(BorrowingMaxPeriod,$K$7),0)</f>
        <v>0</v>
      </c>
      <c r="O25" s="111">
        <f>IF(G25&gt;0,$K$9-SUM($N$18:N25),0)</f>
        <v>0</v>
      </c>
      <c r="P25" s="124"/>
      <c r="Q25" s="124"/>
      <c r="R25" s="124"/>
      <c r="S25" s="124"/>
      <c r="T25" s="124"/>
      <c r="U25" s="124"/>
      <c r="V25" s="124"/>
      <c r="W25" s="124"/>
    </row>
    <row r="26" spans="1:23" ht="15" customHeight="1" x14ac:dyDescent="0.2">
      <c r="A26" s="116" t="str">
        <f t="shared" si="10"/>
        <v>blank</v>
      </c>
      <c r="B26" s="117" t="str">
        <f t="shared" si="5"/>
        <v/>
      </c>
      <c r="C26" s="6"/>
      <c r="D26" s="58">
        <f>IF(DateCommence&gt;0,IF(COUNTIF($D$18:D25,"&gt;0")&lt;$B$15,EOMONTH(D25,1),0),0)</f>
        <v>0</v>
      </c>
      <c r="E26" s="59">
        <f t="shared" si="7"/>
        <v>0</v>
      </c>
      <c r="F26" s="60">
        <f t="shared" si="8"/>
        <v>0</v>
      </c>
      <c r="G26" s="60">
        <f>IF(COUNTIF($G$18:G25,"&gt;0")&lt;$K$7,$K$6,0)+IF(AND($K$8&gt;0,D26=$B$13),$K$8,0)</f>
        <v>0</v>
      </c>
      <c r="H26" s="61">
        <f t="shared" si="2"/>
        <v>0</v>
      </c>
      <c r="I26" s="45">
        <f t="shared" si="9"/>
        <v>0</v>
      </c>
      <c r="J26" s="60">
        <f t="shared" si="3"/>
        <v>0</v>
      </c>
      <c r="K26" s="61">
        <f t="shared" si="4"/>
        <v>0</v>
      </c>
      <c r="L26" s="59">
        <f t="shared" si="6"/>
        <v>0</v>
      </c>
      <c r="M26" s="61">
        <f>IF(I26&gt;0,SUM(F39:$F$107),0)</f>
        <v>0</v>
      </c>
      <c r="N26" s="59">
        <f>IF(AND($K$9&gt;BorrowingWriteOff,COUNTIF($N$18:N25,"&gt;0")&lt;MIN(BorrowingMaxPeriod,$K$7)),$K$9/MIN(BorrowingMaxPeriod,$K$7),0)</f>
        <v>0</v>
      </c>
      <c r="O26" s="112">
        <f>IF(G26&gt;0,$K$9-SUM($N$18:N26),0)</f>
        <v>0</v>
      </c>
      <c r="P26" s="124"/>
      <c r="Q26" s="124"/>
      <c r="R26" s="124"/>
      <c r="S26" s="124"/>
      <c r="T26" s="124"/>
      <c r="U26" s="124"/>
      <c r="V26" s="124"/>
      <c r="W26" s="124"/>
    </row>
    <row r="27" spans="1:23" ht="15" customHeight="1" x14ac:dyDescent="0.2">
      <c r="A27" s="116" t="str">
        <f t="shared" si="10"/>
        <v>blank</v>
      </c>
      <c r="B27" s="117" t="str">
        <f t="shared" si="5"/>
        <v/>
      </c>
      <c r="C27" s="6"/>
      <c r="D27" s="47">
        <f>IF(DateCommence&gt;0,IF(COUNTIF($D$18:D26,"&gt;0")&lt;$B$15,EOMONTH(D26,1),0),0)</f>
        <v>0</v>
      </c>
      <c r="E27" s="48">
        <f t="shared" si="7"/>
        <v>0</v>
      </c>
      <c r="F27" s="50">
        <f t="shared" si="8"/>
        <v>0</v>
      </c>
      <c r="G27" s="50">
        <f>IF(COUNTIF($G$18:G26,"&gt;0")&lt;$K$7,$K$6,0)+IF(AND($K$8&gt;0,D27=$B$13),$K$8,0)</f>
        <v>0</v>
      </c>
      <c r="H27" s="51">
        <f t="shared" si="2"/>
        <v>0</v>
      </c>
      <c r="I27" s="57">
        <f t="shared" si="9"/>
        <v>0</v>
      </c>
      <c r="J27" s="50">
        <f t="shared" si="3"/>
        <v>0</v>
      </c>
      <c r="K27" s="51">
        <f t="shared" si="4"/>
        <v>0</v>
      </c>
      <c r="L27" s="48">
        <f t="shared" si="6"/>
        <v>0</v>
      </c>
      <c r="M27" s="51">
        <f>IF(I27&gt;0,SUM(F40:$F$107),0)</f>
        <v>0</v>
      </c>
      <c r="N27" s="48">
        <f>IF(AND($K$9&gt;BorrowingWriteOff,COUNTIF($N$18:N26,"&gt;0")&lt;MIN(BorrowingMaxPeriod,$K$7)),$K$9/MIN(BorrowingMaxPeriod,$K$7),0)</f>
        <v>0</v>
      </c>
      <c r="O27" s="110">
        <f>IF(G27&gt;0,$K$9-SUM($N$18:N27),0)</f>
        <v>0</v>
      </c>
      <c r="P27" s="124"/>
      <c r="Q27" s="124"/>
      <c r="R27" s="124"/>
      <c r="S27" s="124"/>
      <c r="T27" s="124"/>
      <c r="U27" s="124"/>
      <c r="V27" s="124"/>
      <c r="W27" s="124"/>
    </row>
    <row r="28" spans="1:23" ht="15" customHeight="1" x14ac:dyDescent="0.2">
      <c r="A28" s="116" t="str">
        <f t="shared" si="10"/>
        <v>blank</v>
      </c>
      <c r="B28" s="117" t="str">
        <f t="shared" si="5"/>
        <v/>
      </c>
      <c r="C28" s="6"/>
      <c r="D28" s="38">
        <f>IF(DateCommence&gt;0,IF(COUNTIF($D$18:D27,"&gt;0")&lt;$B$15,EOMONTH(D27,1),0),0)</f>
        <v>0</v>
      </c>
      <c r="E28" s="39">
        <f t="shared" si="7"/>
        <v>0</v>
      </c>
      <c r="F28" s="40">
        <f t="shared" si="8"/>
        <v>0</v>
      </c>
      <c r="G28" s="40">
        <f>IF(COUNTIF($G$18:G27,"&gt;0")&lt;$K$7,$K$6,0)+IF(AND($K$8&gt;0,D28=$B$13),$K$8,0)</f>
        <v>0</v>
      </c>
      <c r="H28" s="41">
        <f t="shared" si="2"/>
        <v>0</v>
      </c>
      <c r="I28" s="44">
        <f t="shared" si="9"/>
        <v>0</v>
      </c>
      <c r="J28" s="40">
        <f t="shared" si="3"/>
        <v>0</v>
      </c>
      <c r="K28" s="41">
        <f t="shared" si="4"/>
        <v>0</v>
      </c>
      <c r="L28" s="39">
        <f t="shared" si="6"/>
        <v>0</v>
      </c>
      <c r="M28" s="41">
        <f>IF(I28&gt;0,SUM(F41:$F$107),0)</f>
        <v>0</v>
      </c>
      <c r="N28" s="39">
        <f>IF(AND($K$9&gt;BorrowingWriteOff,COUNTIF($N$18:N27,"&gt;0")&lt;MIN(BorrowingMaxPeriod,$K$7)),$K$9/MIN(BorrowingMaxPeriod,$K$7),0)</f>
        <v>0</v>
      </c>
      <c r="O28" s="111">
        <f>IF(G28&gt;0,$K$9-SUM($N$18:N28),0)</f>
        <v>0</v>
      </c>
      <c r="P28" s="124"/>
      <c r="Q28" s="124"/>
      <c r="R28" s="124"/>
      <c r="S28" s="124"/>
      <c r="T28" s="124"/>
      <c r="U28" s="124"/>
      <c r="V28" s="124"/>
      <c r="W28" s="124"/>
    </row>
    <row r="29" spans="1:23" ht="15" customHeight="1" x14ac:dyDescent="0.2">
      <c r="A29" s="116" t="str">
        <f t="shared" si="10"/>
        <v>blank</v>
      </c>
      <c r="B29" s="117" t="str">
        <f t="shared" si="5"/>
        <v/>
      </c>
      <c r="C29" s="6"/>
      <c r="D29" s="58">
        <f>IF(DateCommence&gt;0,IF(COUNTIF($D$18:D28,"&gt;0")&lt;$B$15,EOMONTH(D28,1),0),0)</f>
        <v>0</v>
      </c>
      <c r="E29" s="59">
        <f t="shared" si="7"/>
        <v>0</v>
      </c>
      <c r="F29" s="60">
        <f t="shared" si="8"/>
        <v>0</v>
      </c>
      <c r="G29" s="60">
        <f>IF(COUNTIF($G$18:G28,"&gt;0")&lt;$K$7,$K$6,0)+IF(AND($K$8&gt;0,D29=$B$13),$K$8,0)</f>
        <v>0</v>
      </c>
      <c r="H29" s="61">
        <f t="shared" si="2"/>
        <v>0</v>
      </c>
      <c r="I29" s="45">
        <f t="shared" si="9"/>
        <v>0</v>
      </c>
      <c r="J29" s="60">
        <f t="shared" si="3"/>
        <v>0</v>
      </c>
      <c r="K29" s="61">
        <f t="shared" si="4"/>
        <v>0</v>
      </c>
      <c r="L29" s="59">
        <f t="shared" si="6"/>
        <v>0</v>
      </c>
      <c r="M29" s="61">
        <f>IF(I29&gt;0,SUM(F42:$F$107),0)</f>
        <v>0</v>
      </c>
      <c r="N29" s="59">
        <f>IF(AND($K$9&gt;BorrowingWriteOff,COUNTIF($N$18:N28,"&gt;0")&lt;MIN(BorrowingMaxPeriod,$K$7)),$K$9/MIN(BorrowingMaxPeriod,$K$7),0)</f>
        <v>0</v>
      </c>
      <c r="O29" s="112">
        <f>IF(G29&gt;0,$K$9-SUM($N$18:N29),0)</f>
        <v>0</v>
      </c>
      <c r="P29" s="124"/>
      <c r="Q29" s="124"/>
      <c r="R29" s="124"/>
      <c r="S29" s="124"/>
      <c r="T29" s="124"/>
      <c r="U29" s="124"/>
      <c r="V29" s="124"/>
      <c r="W29" s="124"/>
    </row>
    <row r="30" spans="1:23" ht="15" customHeight="1" x14ac:dyDescent="0.2">
      <c r="A30" s="116" t="str">
        <f t="shared" si="10"/>
        <v>blank</v>
      </c>
      <c r="B30" s="117" t="str">
        <f t="shared" si="5"/>
        <v/>
      </c>
      <c r="C30" s="6"/>
      <c r="D30" s="47">
        <f>IF(DateCommence&gt;0,IF(COUNTIF($D$18:D29,"&gt;0")&lt;$B$15,EOMONTH(D29,1),0),0)</f>
        <v>0</v>
      </c>
      <c r="E30" s="48">
        <f t="shared" si="7"/>
        <v>0</v>
      </c>
      <c r="F30" s="50">
        <f t="shared" si="8"/>
        <v>0</v>
      </c>
      <c r="G30" s="50">
        <f>IF(COUNTIF($G$18:G29,"&gt;0")&lt;$K$7,$K$6,0)+IF(AND($K$8&gt;0,D30=$B$13),$K$8,0)</f>
        <v>0</v>
      </c>
      <c r="H30" s="51">
        <f t="shared" si="2"/>
        <v>0</v>
      </c>
      <c r="I30" s="57">
        <f t="shared" si="9"/>
        <v>0</v>
      </c>
      <c r="J30" s="50">
        <f t="shared" si="3"/>
        <v>0</v>
      </c>
      <c r="K30" s="51">
        <f t="shared" si="4"/>
        <v>0</v>
      </c>
      <c r="L30" s="48">
        <f t="shared" si="6"/>
        <v>0</v>
      </c>
      <c r="M30" s="51">
        <f>IF(I30&gt;0,SUM(F43:$F$107),0)</f>
        <v>0</v>
      </c>
      <c r="N30" s="48">
        <f>IF(AND($K$9&gt;BorrowingWriteOff,COUNTIF($N$18:N29,"&gt;0")&lt;MIN(BorrowingMaxPeriod,$K$7)),$K$9/MIN(BorrowingMaxPeriod,$K$7),0)</f>
        <v>0</v>
      </c>
      <c r="O30" s="110">
        <f>IF(G30&gt;0,$K$9-SUM($N$18:N30),0)</f>
        <v>0</v>
      </c>
      <c r="P30" s="124"/>
      <c r="Q30" s="124"/>
      <c r="R30" s="124"/>
      <c r="S30" s="124"/>
      <c r="T30" s="124"/>
      <c r="U30" s="124"/>
      <c r="V30" s="124"/>
      <c r="W30" s="124"/>
    </row>
    <row r="31" spans="1:23" ht="15" customHeight="1" x14ac:dyDescent="0.2">
      <c r="A31" s="116" t="str">
        <f t="shared" si="10"/>
        <v>blank</v>
      </c>
      <c r="B31" s="117" t="str">
        <f t="shared" si="5"/>
        <v/>
      </c>
      <c r="C31" s="6"/>
      <c r="D31" s="38">
        <f>IF(DateCommence&gt;0,IF(COUNTIF($D$18:D30,"&gt;0")&lt;$B$15,EOMONTH(D30,1),0),0)</f>
        <v>0</v>
      </c>
      <c r="E31" s="39">
        <f t="shared" si="7"/>
        <v>0</v>
      </c>
      <c r="F31" s="40">
        <f t="shared" si="8"/>
        <v>0</v>
      </c>
      <c r="G31" s="40">
        <f>IF(COUNTIF($G$18:G30,"&gt;0")&lt;$K$7,$K$6,0)+IF(AND($K$8&gt;0,D31=$B$13),$K$8,0)</f>
        <v>0</v>
      </c>
      <c r="H31" s="41">
        <f t="shared" si="2"/>
        <v>0</v>
      </c>
      <c r="I31" s="44">
        <f t="shared" si="9"/>
        <v>0</v>
      </c>
      <c r="J31" s="40">
        <f t="shared" si="3"/>
        <v>0</v>
      </c>
      <c r="K31" s="41">
        <f t="shared" si="4"/>
        <v>0</v>
      </c>
      <c r="L31" s="39">
        <f t="shared" si="6"/>
        <v>0</v>
      </c>
      <c r="M31" s="41">
        <f>IF(I31&gt;0,SUM(F44:$F$107),0)</f>
        <v>0</v>
      </c>
      <c r="N31" s="39">
        <f>IF(AND($K$9&gt;BorrowingWriteOff,COUNTIF($N$18:N30,"&gt;0")&lt;MIN(BorrowingMaxPeriod,$K$7)),$K$9/MIN(BorrowingMaxPeriod,$K$7),0)</f>
        <v>0</v>
      </c>
      <c r="O31" s="111">
        <f>IF(G31&gt;0,$K$9-SUM($N$18:N31),0)</f>
        <v>0</v>
      </c>
      <c r="P31" s="124"/>
      <c r="Q31" s="124"/>
      <c r="R31" s="124"/>
      <c r="S31" s="124"/>
      <c r="T31" s="124"/>
      <c r="U31" s="124"/>
      <c r="V31" s="124"/>
      <c r="W31" s="124"/>
    </row>
    <row r="32" spans="1:23" ht="15" customHeight="1" x14ac:dyDescent="0.2">
      <c r="A32" s="116" t="str">
        <f t="shared" si="10"/>
        <v>blank</v>
      </c>
      <c r="B32" s="117" t="str">
        <f t="shared" si="5"/>
        <v/>
      </c>
      <c r="C32" s="6"/>
      <c r="D32" s="58">
        <f>IF(DateCommence&gt;0,IF(COUNTIF($D$18:D31,"&gt;0")&lt;$B$15,EOMONTH(D31,1),0),0)</f>
        <v>0</v>
      </c>
      <c r="E32" s="59">
        <f t="shared" si="7"/>
        <v>0</v>
      </c>
      <c r="F32" s="60">
        <f t="shared" si="8"/>
        <v>0</v>
      </c>
      <c r="G32" s="60">
        <f>IF(COUNTIF($G$18:G31,"&gt;0")&lt;$K$7,$K$6,0)+IF(AND($K$8&gt;0,D32=$B$13),$K$8,0)</f>
        <v>0</v>
      </c>
      <c r="H32" s="61">
        <f t="shared" si="2"/>
        <v>0</v>
      </c>
      <c r="I32" s="45">
        <f t="shared" si="9"/>
        <v>0</v>
      </c>
      <c r="J32" s="60">
        <f t="shared" si="3"/>
        <v>0</v>
      </c>
      <c r="K32" s="61">
        <f t="shared" si="4"/>
        <v>0</v>
      </c>
      <c r="L32" s="59">
        <f t="shared" si="6"/>
        <v>0</v>
      </c>
      <c r="M32" s="61">
        <f>IF(I32&gt;0,SUM(F45:$F$107),0)</f>
        <v>0</v>
      </c>
      <c r="N32" s="59">
        <f>IF(AND($K$9&gt;BorrowingWriteOff,COUNTIF($N$18:N31,"&gt;0")&lt;MIN(BorrowingMaxPeriod,$K$7)),$K$9/MIN(BorrowingMaxPeriod,$K$7),0)</f>
        <v>0</v>
      </c>
      <c r="O32" s="112">
        <f>IF(G32&gt;0,$K$9-SUM($N$18:N32),0)</f>
        <v>0</v>
      </c>
      <c r="P32" s="124"/>
      <c r="Q32" s="124"/>
      <c r="R32" s="124"/>
      <c r="S32" s="124"/>
      <c r="T32" s="124"/>
      <c r="U32" s="124"/>
      <c r="V32" s="124"/>
      <c r="W32" s="124"/>
    </row>
    <row r="33" spans="1:23" ht="15" customHeight="1" x14ac:dyDescent="0.2">
      <c r="A33" s="116" t="str">
        <f t="shared" si="10"/>
        <v>blank</v>
      </c>
      <c r="B33" s="117" t="str">
        <f t="shared" si="5"/>
        <v/>
      </c>
      <c r="C33" s="6"/>
      <c r="D33" s="47">
        <f>IF(DateCommence&gt;0,IF(COUNTIF($D$18:D32,"&gt;0")&lt;$B$15,EOMONTH(D32,1),0),0)</f>
        <v>0</v>
      </c>
      <c r="E33" s="48">
        <f t="shared" si="7"/>
        <v>0</v>
      </c>
      <c r="F33" s="50">
        <f t="shared" si="8"/>
        <v>0</v>
      </c>
      <c r="G33" s="50">
        <f>IF(COUNTIF($G$18:G32,"&gt;0")&lt;$K$7,$K$6,0)+IF(AND($K$8&gt;0,D33=$B$13),$K$8,0)</f>
        <v>0</v>
      </c>
      <c r="H33" s="51">
        <f t="shared" si="2"/>
        <v>0</v>
      </c>
      <c r="I33" s="57">
        <f t="shared" si="9"/>
        <v>0</v>
      </c>
      <c r="J33" s="50">
        <f t="shared" si="3"/>
        <v>0</v>
      </c>
      <c r="K33" s="51">
        <f t="shared" si="4"/>
        <v>0</v>
      </c>
      <c r="L33" s="48">
        <f t="shared" si="6"/>
        <v>0</v>
      </c>
      <c r="M33" s="51">
        <f>IF(I33&gt;0,SUM(F46:$F$107),0)</f>
        <v>0</v>
      </c>
      <c r="N33" s="48">
        <f>IF(AND($K$9&gt;BorrowingWriteOff,COUNTIF($N$18:N32,"&gt;0")&lt;MIN(BorrowingMaxPeriod,$K$7)),$K$9/MIN(BorrowingMaxPeriod,$K$7),0)</f>
        <v>0</v>
      </c>
      <c r="O33" s="110">
        <f>IF(G33&gt;0,$K$9-SUM($N$18:N33),0)</f>
        <v>0</v>
      </c>
      <c r="P33" s="124"/>
      <c r="Q33" s="124"/>
      <c r="R33" s="124"/>
      <c r="S33" s="124"/>
      <c r="T33" s="124"/>
      <c r="U33" s="124"/>
      <c r="V33" s="124"/>
      <c r="W33" s="124"/>
    </row>
    <row r="34" spans="1:23" ht="15" customHeight="1" x14ac:dyDescent="0.2">
      <c r="A34" s="116" t="str">
        <f t="shared" si="10"/>
        <v>blank</v>
      </c>
      <c r="B34" s="117" t="str">
        <f t="shared" si="5"/>
        <v/>
      </c>
      <c r="C34" s="6"/>
      <c r="D34" s="38">
        <f>IF(DateCommence&gt;0,IF(COUNTIF($D$18:D33,"&gt;0")&lt;$B$15,EOMONTH(D33,1),0),0)</f>
        <v>0</v>
      </c>
      <c r="E34" s="39">
        <f t="shared" si="7"/>
        <v>0</v>
      </c>
      <c r="F34" s="40">
        <f t="shared" si="8"/>
        <v>0</v>
      </c>
      <c r="G34" s="40">
        <f>IF(COUNTIF($G$18:G33,"&gt;0")&lt;$K$7,$K$6,0)+IF(AND($K$8&gt;0,D34=$B$13),$K$8,0)</f>
        <v>0</v>
      </c>
      <c r="H34" s="41">
        <f t="shared" si="2"/>
        <v>0</v>
      </c>
      <c r="I34" s="44">
        <f t="shared" si="9"/>
        <v>0</v>
      </c>
      <c r="J34" s="40">
        <f t="shared" si="3"/>
        <v>0</v>
      </c>
      <c r="K34" s="41">
        <f t="shared" si="4"/>
        <v>0</v>
      </c>
      <c r="L34" s="39">
        <f t="shared" si="6"/>
        <v>0</v>
      </c>
      <c r="M34" s="41">
        <f>IF(I34&gt;0,SUM(F47:$F$107),0)</f>
        <v>0</v>
      </c>
      <c r="N34" s="39">
        <f>IF(AND($K$9&gt;BorrowingWriteOff,COUNTIF($N$18:N33,"&gt;0")&lt;MIN(BorrowingMaxPeriod,$K$7)),$K$9/MIN(BorrowingMaxPeriod,$K$7),0)</f>
        <v>0</v>
      </c>
      <c r="O34" s="111">
        <f>IF(G34&gt;0,$K$9-SUM($N$18:N34),0)</f>
        <v>0</v>
      </c>
      <c r="P34" s="124"/>
      <c r="Q34" s="124"/>
      <c r="R34" s="124"/>
      <c r="S34" s="124"/>
      <c r="T34" s="124"/>
      <c r="U34" s="124"/>
      <c r="V34" s="124"/>
      <c r="W34" s="124"/>
    </row>
    <row r="35" spans="1:23" ht="15" customHeight="1" x14ac:dyDescent="0.2">
      <c r="A35" s="116" t="str">
        <f t="shared" si="10"/>
        <v>blank</v>
      </c>
      <c r="B35" s="117" t="str">
        <f t="shared" si="5"/>
        <v/>
      </c>
      <c r="C35" s="6"/>
      <c r="D35" s="58">
        <f>IF(DateCommence&gt;0,IF(COUNTIF($D$18:D34,"&gt;0")&lt;$B$15,EOMONTH(D34,1),0),0)</f>
        <v>0</v>
      </c>
      <c r="E35" s="59">
        <f t="shared" si="7"/>
        <v>0</v>
      </c>
      <c r="F35" s="60">
        <f t="shared" si="8"/>
        <v>0</v>
      </c>
      <c r="G35" s="60">
        <f>IF(COUNTIF($G$18:G34,"&gt;0")&lt;$K$7,$K$6,0)+IF(AND($K$8&gt;0,D35=$B$13),$K$8,0)</f>
        <v>0</v>
      </c>
      <c r="H35" s="61">
        <f t="shared" si="2"/>
        <v>0</v>
      </c>
      <c r="I35" s="45">
        <f t="shared" si="9"/>
        <v>0</v>
      </c>
      <c r="J35" s="60">
        <f t="shared" si="3"/>
        <v>0</v>
      </c>
      <c r="K35" s="61">
        <f t="shared" si="4"/>
        <v>0</v>
      </c>
      <c r="L35" s="59">
        <f t="shared" si="6"/>
        <v>0</v>
      </c>
      <c r="M35" s="61">
        <f>IF(I35&gt;0,SUM(F48:$F$107),0)</f>
        <v>0</v>
      </c>
      <c r="N35" s="59">
        <f>IF(AND($K$9&gt;BorrowingWriteOff,COUNTIF($N$18:N34,"&gt;0")&lt;MIN(BorrowingMaxPeriod,$K$7)),$K$9/MIN(BorrowingMaxPeriod,$K$7),0)</f>
        <v>0</v>
      </c>
      <c r="O35" s="112">
        <f>IF(G35&gt;0,$K$9-SUM($N$18:N35),0)</f>
        <v>0</v>
      </c>
      <c r="P35" s="124"/>
      <c r="Q35" s="124"/>
      <c r="R35" s="124"/>
      <c r="S35" s="124"/>
      <c r="T35" s="124"/>
      <c r="U35" s="124"/>
      <c r="V35" s="124"/>
      <c r="W35" s="124"/>
    </row>
    <row r="36" spans="1:23" ht="15" customHeight="1" x14ac:dyDescent="0.2">
      <c r="A36" s="116" t="str">
        <f t="shared" si="10"/>
        <v>blank</v>
      </c>
      <c r="B36" s="117" t="str">
        <f t="shared" si="5"/>
        <v/>
      </c>
      <c r="C36" s="6"/>
      <c r="D36" s="47">
        <f>IF(DateCommence&gt;0,IF(COUNTIF($D$18:D35,"&gt;0")&lt;$B$15,EOMONTH(D35,1),0),0)</f>
        <v>0</v>
      </c>
      <c r="E36" s="48">
        <f t="shared" si="7"/>
        <v>0</v>
      </c>
      <c r="F36" s="50">
        <f t="shared" si="8"/>
        <v>0</v>
      </c>
      <c r="G36" s="50">
        <f>IF(COUNTIF($G$18:G35,"&gt;0")&lt;$K$7,$K$6,0)+IF(AND($K$8&gt;0,D36=$B$13),$K$8,0)</f>
        <v>0</v>
      </c>
      <c r="H36" s="51">
        <f t="shared" si="2"/>
        <v>0</v>
      </c>
      <c r="I36" s="57">
        <f t="shared" si="9"/>
        <v>0</v>
      </c>
      <c r="J36" s="50">
        <f t="shared" si="3"/>
        <v>0</v>
      </c>
      <c r="K36" s="51">
        <f t="shared" si="4"/>
        <v>0</v>
      </c>
      <c r="L36" s="48">
        <f t="shared" si="6"/>
        <v>0</v>
      </c>
      <c r="M36" s="51">
        <f>IF(I36&gt;0,SUM(F49:$F$107),0)</f>
        <v>0</v>
      </c>
      <c r="N36" s="48">
        <f>IF(AND($K$9&gt;BorrowingWriteOff,COUNTIF($N$18:N35,"&gt;0")&lt;MIN(BorrowingMaxPeriod,$K$7)),$K$9/MIN(BorrowingMaxPeriod,$K$7),0)</f>
        <v>0</v>
      </c>
      <c r="O36" s="110">
        <f>IF(G36&gt;0,$K$9-SUM($N$18:N36),0)</f>
        <v>0</v>
      </c>
      <c r="P36" s="124"/>
      <c r="Q36" s="124"/>
      <c r="R36" s="124"/>
      <c r="S36" s="124"/>
      <c r="T36" s="124"/>
      <c r="U36" s="124"/>
      <c r="V36" s="124"/>
      <c r="W36" s="124"/>
    </row>
    <row r="37" spans="1:23" ht="15" customHeight="1" x14ac:dyDescent="0.2">
      <c r="A37" s="116" t="str">
        <f t="shared" si="10"/>
        <v>blank</v>
      </c>
      <c r="B37" s="117" t="str">
        <f t="shared" si="5"/>
        <v/>
      </c>
      <c r="C37" s="6"/>
      <c r="D37" s="38">
        <f>IF(DateCommence&gt;0,IF(COUNTIF($D$18:D36,"&gt;0")&lt;$B$15,EOMONTH(D36,1),0),0)</f>
        <v>0</v>
      </c>
      <c r="E37" s="39">
        <f t="shared" si="7"/>
        <v>0</v>
      </c>
      <c r="F37" s="40">
        <f t="shared" si="8"/>
        <v>0</v>
      </c>
      <c r="G37" s="40">
        <f>IF(COUNTIF($G$18:G36,"&gt;0")&lt;$K$7,$K$6,0)+IF(AND($K$8&gt;0,D37=$B$13),$K$8,0)</f>
        <v>0</v>
      </c>
      <c r="H37" s="41">
        <f t="shared" si="2"/>
        <v>0</v>
      </c>
      <c r="I37" s="44">
        <f t="shared" si="9"/>
        <v>0</v>
      </c>
      <c r="J37" s="40">
        <f t="shared" si="3"/>
        <v>0</v>
      </c>
      <c r="K37" s="41">
        <f t="shared" si="4"/>
        <v>0</v>
      </c>
      <c r="L37" s="39">
        <f t="shared" si="6"/>
        <v>0</v>
      </c>
      <c r="M37" s="41">
        <f>IF(I37&gt;0,SUM(F50:$F$107),0)</f>
        <v>0</v>
      </c>
      <c r="N37" s="39">
        <f>IF(AND($K$9&gt;BorrowingWriteOff,COUNTIF($N$18:N36,"&gt;0")&lt;MIN(BorrowingMaxPeriod,$K$7)),$K$9/MIN(BorrowingMaxPeriod,$K$7),0)</f>
        <v>0</v>
      </c>
      <c r="O37" s="111">
        <f>IF(G37&gt;0,$K$9-SUM($N$18:N37),0)</f>
        <v>0</v>
      </c>
      <c r="P37" s="124"/>
      <c r="Q37" s="124"/>
      <c r="R37" s="124"/>
      <c r="S37" s="124"/>
      <c r="T37" s="124"/>
      <c r="U37" s="124"/>
      <c r="V37" s="124"/>
      <c r="W37" s="124"/>
    </row>
    <row r="38" spans="1:23" ht="15" customHeight="1" x14ac:dyDescent="0.2">
      <c r="A38" s="116" t="str">
        <f t="shared" si="10"/>
        <v>blank</v>
      </c>
      <c r="B38" s="117" t="str">
        <f t="shared" si="5"/>
        <v/>
      </c>
      <c r="C38" s="6"/>
      <c r="D38" s="58">
        <f>IF(DateCommence&gt;0,IF(COUNTIF($D$18:D37,"&gt;0")&lt;$B$15,EOMONTH(D37,1),0),0)</f>
        <v>0</v>
      </c>
      <c r="E38" s="59">
        <f t="shared" si="7"/>
        <v>0</v>
      </c>
      <c r="F38" s="60">
        <f t="shared" si="8"/>
        <v>0</v>
      </c>
      <c r="G38" s="60">
        <f>IF(COUNTIF($G$18:G37,"&gt;0")&lt;$K$7,$K$6,0)+IF(AND($K$8&gt;0,D38=$B$13),$K$8,0)</f>
        <v>0</v>
      </c>
      <c r="H38" s="61">
        <f t="shared" si="2"/>
        <v>0</v>
      </c>
      <c r="I38" s="45">
        <f t="shared" si="9"/>
        <v>0</v>
      </c>
      <c r="J38" s="60">
        <f t="shared" si="3"/>
        <v>0</v>
      </c>
      <c r="K38" s="61">
        <f t="shared" si="4"/>
        <v>0</v>
      </c>
      <c r="L38" s="59">
        <f t="shared" si="6"/>
        <v>0</v>
      </c>
      <c r="M38" s="61">
        <f>IF(I38&gt;0,SUM(F51:$F$107),0)</f>
        <v>0</v>
      </c>
      <c r="N38" s="59">
        <f>IF(AND($K$9&gt;BorrowingWriteOff,COUNTIF($N$18:N37,"&gt;0")&lt;MIN(BorrowingMaxPeriod,$K$7)),$K$9/MIN(BorrowingMaxPeriod,$K$7),0)</f>
        <v>0</v>
      </c>
      <c r="O38" s="112">
        <f>IF(G38&gt;0,$K$9-SUM($N$18:N38),0)</f>
        <v>0</v>
      </c>
      <c r="P38" s="124"/>
      <c r="Q38" s="124"/>
      <c r="R38" s="124"/>
      <c r="S38" s="124"/>
      <c r="T38" s="124"/>
      <c r="U38" s="124"/>
      <c r="V38" s="124"/>
      <c r="W38" s="124"/>
    </row>
    <row r="39" spans="1:23" ht="15" customHeight="1" x14ac:dyDescent="0.2">
      <c r="A39" s="116" t="str">
        <f t="shared" si="10"/>
        <v>blank</v>
      </c>
      <c r="B39" s="117" t="str">
        <f t="shared" si="5"/>
        <v/>
      </c>
      <c r="C39" s="6"/>
      <c r="D39" s="47">
        <f>IF(DateCommence&gt;0,IF(COUNTIF($D$18:D38,"&gt;0")&lt;$B$15,EOMONTH(D38,1),0),0)</f>
        <v>0</v>
      </c>
      <c r="E39" s="48">
        <f t="shared" si="7"/>
        <v>0</v>
      </c>
      <c r="F39" s="50">
        <f t="shared" si="8"/>
        <v>0</v>
      </c>
      <c r="G39" s="50">
        <f>IF(COUNTIF($G$18:G38,"&gt;0")&lt;$K$7,$K$6,0)+IF(AND($K$8&gt;0,D39=$B$13),$K$8,0)</f>
        <v>0</v>
      </c>
      <c r="H39" s="51">
        <f t="shared" si="2"/>
        <v>0</v>
      </c>
      <c r="I39" s="57">
        <f t="shared" si="9"/>
        <v>0</v>
      </c>
      <c r="J39" s="50">
        <f t="shared" si="3"/>
        <v>0</v>
      </c>
      <c r="K39" s="51">
        <f t="shared" si="4"/>
        <v>0</v>
      </c>
      <c r="L39" s="48">
        <f t="shared" si="6"/>
        <v>0</v>
      </c>
      <c r="M39" s="51">
        <f>IF(I39&gt;0,SUM(F52:$F$107),0)</f>
        <v>0</v>
      </c>
      <c r="N39" s="48">
        <f>IF(AND($K$9&gt;BorrowingWriteOff,COUNTIF($N$18:N38,"&gt;0")&lt;MIN(BorrowingMaxPeriod,$K$7)),$K$9/MIN(BorrowingMaxPeriod,$K$7),0)</f>
        <v>0</v>
      </c>
      <c r="O39" s="110">
        <f>IF(G39&gt;0,$K$9-SUM($N$18:N39),0)</f>
        <v>0</v>
      </c>
      <c r="P39" s="124"/>
      <c r="Q39" s="124"/>
      <c r="R39" s="124"/>
      <c r="S39" s="124"/>
      <c r="T39" s="124"/>
      <c r="U39" s="124"/>
      <c r="V39" s="124"/>
      <c r="W39" s="124"/>
    </row>
    <row r="40" spans="1:23" ht="15" customHeight="1" x14ac:dyDescent="0.2">
      <c r="A40" s="116" t="str">
        <f t="shared" si="10"/>
        <v>blank</v>
      </c>
      <c r="B40" s="117" t="str">
        <f t="shared" si="5"/>
        <v/>
      </c>
      <c r="C40" s="6"/>
      <c r="D40" s="38">
        <f>IF(DateCommence&gt;0,IF(COUNTIF($D$18:D39,"&gt;0")&lt;$B$15,EOMONTH(D39,1),0),0)</f>
        <v>0</v>
      </c>
      <c r="E40" s="39">
        <f t="shared" si="7"/>
        <v>0</v>
      </c>
      <c r="F40" s="40">
        <f t="shared" si="8"/>
        <v>0</v>
      </c>
      <c r="G40" s="40">
        <f>IF(COUNTIF($G$18:G39,"&gt;0")&lt;$K$7,$K$6,0)+IF(AND($K$8&gt;0,D40=$B$13),$K$8,0)</f>
        <v>0</v>
      </c>
      <c r="H40" s="41">
        <f t="shared" si="2"/>
        <v>0</v>
      </c>
      <c r="I40" s="44">
        <f t="shared" si="9"/>
        <v>0</v>
      </c>
      <c r="J40" s="40">
        <f t="shared" si="3"/>
        <v>0</v>
      </c>
      <c r="K40" s="41">
        <f t="shared" si="4"/>
        <v>0</v>
      </c>
      <c r="L40" s="39">
        <f t="shared" si="6"/>
        <v>0</v>
      </c>
      <c r="M40" s="41">
        <f>IF(I40&gt;0,SUM(F53:$F$107),0)</f>
        <v>0</v>
      </c>
      <c r="N40" s="39">
        <f>IF(AND($K$9&gt;BorrowingWriteOff,COUNTIF($N$18:N39,"&gt;0")&lt;MIN(BorrowingMaxPeriod,$K$7)),$K$9/MIN(BorrowingMaxPeriod,$K$7),0)</f>
        <v>0</v>
      </c>
      <c r="O40" s="111">
        <f>IF(G40&gt;0,$K$9-SUM($N$18:N40),0)</f>
        <v>0</v>
      </c>
      <c r="P40" s="124"/>
      <c r="Q40" s="124"/>
      <c r="R40" s="124"/>
      <c r="S40" s="124"/>
      <c r="T40" s="124"/>
      <c r="U40" s="124"/>
      <c r="V40" s="124"/>
      <c r="W40" s="124"/>
    </row>
    <row r="41" spans="1:23" ht="15" customHeight="1" x14ac:dyDescent="0.2">
      <c r="A41" s="116" t="str">
        <f t="shared" si="10"/>
        <v>blank</v>
      </c>
      <c r="B41" s="117" t="str">
        <f t="shared" si="5"/>
        <v/>
      </c>
      <c r="C41" s="6"/>
      <c r="D41" s="58">
        <f>IF(DateCommence&gt;0,IF(COUNTIF($D$18:D40,"&gt;0")&lt;$B$15,EOMONTH(D40,1),0),0)</f>
        <v>0</v>
      </c>
      <c r="E41" s="59">
        <f t="shared" si="7"/>
        <v>0</v>
      </c>
      <c r="F41" s="60">
        <f t="shared" si="8"/>
        <v>0</v>
      </c>
      <c r="G41" s="60">
        <f>IF(COUNTIF($G$18:G40,"&gt;0")&lt;$K$7,$K$6,0)+IF(AND($K$8&gt;0,D41=$B$13),$K$8,0)</f>
        <v>0</v>
      </c>
      <c r="H41" s="61">
        <f t="shared" si="2"/>
        <v>0</v>
      </c>
      <c r="I41" s="45">
        <f t="shared" si="9"/>
        <v>0</v>
      </c>
      <c r="J41" s="60">
        <f t="shared" si="3"/>
        <v>0</v>
      </c>
      <c r="K41" s="61">
        <f t="shared" si="4"/>
        <v>0</v>
      </c>
      <c r="L41" s="59">
        <f t="shared" si="6"/>
        <v>0</v>
      </c>
      <c r="M41" s="61">
        <f>IF(I41&gt;0,SUM(F54:$F$107),0)</f>
        <v>0</v>
      </c>
      <c r="N41" s="59">
        <f>IF(AND($K$9&gt;BorrowingWriteOff,COUNTIF($N$18:N40,"&gt;0")&lt;MIN(BorrowingMaxPeriod,$K$7)),$K$9/MIN(BorrowingMaxPeriod,$K$7),0)</f>
        <v>0</v>
      </c>
      <c r="O41" s="112">
        <f>IF(G41&gt;0,$K$9-SUM($N$18:N41),0)</f>
        <v>0</v>
      </c>
      <c r="P41" s="124"/>
      <c r="Q41" s="124"/>
      <c r="R41" s="124"/>
      <c r="S41" s="124"/>
      <c r="T41" s="124"/>
      <c r="U41" s="124"/>
      <c r="V41" s="124"/>
      <c r="W41" s="124"/>
    </row>
    <row r="42" spans="1:23" ht="15" customHeight="1" x14ac:dyDescent="0.2">
      <c r="A42" s="116" t="str">
        <f t="shared" si="10"/>
        <v>blank</v>
      </c>
      <c r="B42" s="117" t="str">
        <f t="shared" si="5"/>
        <v/>
      </c>
      <c r="C42" s="6"/>
      <c r="D42" s="47">
        <f>IF(DateCommence&gt;0,IF(COUNTIF($D$18:D41,"&gt;0")&lt;$B$15,EOMONTH(D41,1),0),0)</f>
        <v>0</v>
      </c>
      <c r="E42" s="48">
        <f t="shared" si="7"/>
        <v>0</v>
      </c>
      <c r="F42" s="50">
        <f t="shared" si="8"/>
        <v>0</v>
      </c>
      <c r="G42" s="50">
        <f>IF(COUNTIF($G$18:G41,"&gt;0")&lt;$K$7,$K$6,0)+IF(AND($K$8&gt;0,D42=$B$13),$K$8,0)</f>
        <v>0</v>
      </c>
      <c r="H42" s="51">
        <f t="shared" si="2"/>
        <v>0</v>
      </c>
      <c r="I42" s="57">
        <f t="shared" si="9"/>
        <v>0</v>
      </c>
      <c r="J42" s="50">
        <f t="shared" si="3"/>
        <v>0</v>
      </c>
      <c r="K42" s="51">
        <f t="shared" si="4"/>
        <v>0</v>
      </c>
      <c r="L42" s="48">
        <f t="shared" si="6"/>
        <v>0</v>
      </c>
      <c r="M42" s="51">
        <f>IF(I42&gt;0,SUM(F55:$F$107),0)</f>
        <v>0</v>
      </c>
      <c r="N42" s="48">
        <f>IF(AND($K$9&gt;BorrowingWriteOff,COUNTIF($N$18:N41,"&gt;0")&lt;MIN(BorrowingMaxPeriod,$K$7)),$K$9/MIN(BorrowingMaxPeriod,$K$7),0)</f>
        <v>0</v>
      </c>
      <c r="O42" s="110">
        <f>IF(G42&gt;0,$K$9-SUM($N$18:N42),0)</f>
        <v>0</v>
      </c>
      <c r="P42" s="124"/>
      <c r="Q42" s="124"/>
      <c r="R42" s="124"/>
      <c r="S42" s="124"/>
      <c r="T42" s="124"/>
      <c r="U42" s="124"/>
      <c r="V42" s="124"/>
      <c r="W42" s="124"/>
    </row>
    <row r="43" spans="1:23" ht="15" customHeight="1" x14ac:dyDescent="0.2">
      <c r="A43" s="116" t="str">
        <f t="shared" si="10"/>
        <v>blank</v>
      </c>
      <c r="B43" s="117" t="str">
        <f t="shared" si="5"/>
        <v/>
      </c>
      <c r="C43" s="6"/>
      <c r="D43" s="38">
        <f>IF(DateCommence&gt;0,IF(COUNTIF($D$18:D42,"&gt;0")&lt;$B$15,EOMONTH(D42,1),0),0)</f>
        <v>0</v>
      </c>
      <c r="E43" s="39">
        <f t="shared" si="7"/>
        <v>0</v>
      </c>
      <c r="F43" s="40">
        <f t="shared" si="8"/>
        <v>0</v>
      </c>
      <c r="G43" s="40">
        <f>IF(COUNTIF($G$18:G42,"&gt;0")&lt;$K$7,$K$6,0)+IF(AND($K$8&gt;0,D43=$B$13),$K$8,0)</f>
        <v>0</v>
      </c>
      <c r="H43" s="41">
        <f t="shared" si="2"/>
        <v>0</v>
      </c>
      <c r="I43" s="44">
        <f t="shared" si="9"/>
        <v>0</v>
      </c>
      <c r="J43" s="40">
        <f t="shared" si="3"/>
        <v>0</v>
      </c>
      <c r="K43" s="41">
        <f t="shared" si="4"/>
        <v>0</v>
      </c>
      <c r="L43" s="39">
        <f t="shared" si="6"/>
        <v>0</v>
      </c>
      <c r="M43" s="41">
        <f>IF(I43&gt;0,SUM(F56:$F$107),0)</f>
        <v>0</v>
      </c>
      <c r="N43" s="39">
        <f>IF(AND($K$9&gt;BorrowingWriteOff,COUNTIF($N$18:N42,"&gt;0")&lt;MIN(BorrowingMaxPeriod,$K$7)),$K$9/MIN(BorrowingMaxPeriod,$K$7),0)</f>
        <v>0</v>
      </c>
      <c r="O43" s="111">
        <f>IF(G43&gt;0,$K$9-SUM($N$18:N43),0)</f>
        <v>0</v>
      </c>
      <c r="P43" s="124"/>
      <c r="Q43" s="124"/>
      <c r="R43" s="124"/>
      <c r="S43" s="124"/>
      <c r="T43" s="124"/>
      <c r="U43" s="124"/>
      <c r="V43" s="124"/>
      <c r="W43" s="124"/>
    </row>
    <row r="44" spans="1:23" ht="15" customHeight="1" x14ac:dyDescent="0.2">
      <c r="A44" s="116" t="str">
        <f t="shared" si="10"/>
        <v>blank</v>
      </c>
      <c r="B44" s="117" t="str">
        <f t="shared" si="5"/>
        <v/>
      </c>
      <c r="C44" s="6"/>
      <c r="D44" s="58">
        <f>IF(DateCommence&gt;0,IF(COUNTIF($D$18:D43,"&gt;0")&lt;$B$15,EOMONTH(D43,1),0),0)</f>
        <v>0</v>
      </c>
      <c r="E44" s="59">
        <f t="shared" si="7"/>
        <v>0</v>
      </c>
      <c r="F44" s="60">
        <f t="shared" si="8"/>
        <v>0</v>
      </c>
      <c r="G44" s="60">
        <f>IF(COUNTIF($G$18:G43,"&gt;0")&lt;$K$7,$K$6,0)+IF(AND($K$8&gt;0,D44=$B$13),$K$8,0)</f>
        <v>0</v>
      </c>
      <c r="H44" s="61">
        <f t="shared" si="2"/>
        <v>0</v>
      </c>
      <c r="I44" s="45">
        <f t="shared" si="9"/>
        <v>0</v>
      </c>
      <c r="J44" s="60">
        <f t="shared" si="3"/>
        <v>0</v>
      </c>
      <c r="K44" s="61">
        <f t="shared" si="4"/>
        <v>0</v>
      </c>
      <c r="L44" s="59">
        <f t="shared" si="6"/>
        <v>0</v>
      </c>
      <c r="M44" s="61">
        <f>IF(I44&gt;0,SUM(F57:$F$107),0)</f>
        <v>0</v>
      </c>
      <c r="N44" s="59">
        <f>IF(AND($K$9&gt;BorrowingWriteOff,COUNTIF($N$18:N43,"&gt;0")&lt;MIN(BorrowingMaxPeriod,$K$7)),$K$9/MIN(BorrowingMaxPeriod,$K$7),0)</f>
        <v>0</v>
      </c>
      <c r="O44" s="112">
        <f>IF(G44&gt;0,$K$9-SUM($N$18:N44),0)</f>
        <v>0</v>
      </c>
      <c r="P44" s="124"/>
      <c r="Q44" s="124"/>
      <c r="R44" s="124"/>
      <c r="S44" s="124"/>
      <c r="T44" s="124"/>
      <c r="U44" s="124"/>
      <c r="V44" s="124"/>
      <c r="W44" s="124"/>
    </row>
    <row r="45" spans="1:23" ht="15" customHeight="1" x14ac:dyDescent="0.2">
      <c r="A45" s="116" t="str">
        <f t="shared" si="10"/>
        <v>blank</v>
      </c>
      <c r="B45" s="117" t="str">
        <f t="shared" si="5"/>
        <v/>
      </c>
      <c r="C45" s="6"/>
      <c r="D45" s="47">
        <f>IF(DateCommence&gt;0,IF(COUNTIF($D$18:D44,"&gt;0")&lt;$B$15,EOMONTH(D44,1),0),0)</f>
        <v>0</v>
      </c>
      <c r="E45" s="48">
        <f t="shared" si="7"/>
        <v>0</v>
      </c>
      <c r="F45" s="50">
        <f t="shared" si="8"/>
        <v>0</v>
      </c>
      <c r="G45" s="50">
        <f>IF(COUNTIF($G$18:G44,"&gt;0")&lt;$K$7,$K$6,0)+IF(AND($K$8&gt;0,D45=$B$13),$K$8,0)</f>
        <v>0</v>
      </c>
      <c r="H45" s="51">
        <f t="shared" si="2"/>
        <v>0</v>
      </c>
      <c r="I45" s="57">
        <f t="shared" si="9"/>
        <v>0</v>
      </c>
      <c r="J45" s="50">
        <f t="shared" si="3"/>
        <v>0</v>
      </c>
      <c r="K45" s="51">
        <f t="shared" si="4"/>
        <v>0</v>
      </c>
      <c r="L45" s="48">
        <f t="shared" si="6"/>
        <v>0</v>
      </c>
      <c r="M45" s="51">
        <f>IF(I45&gt;0,SUM(F58:$F$107),0)</f>
        <v>0</v>
      </c>
      <c r="N45" s="48">
        <f>IF(AND($K$9&gt;BorrowingWriteOff,COUNTIF($N$18:N44,"&gt;0")&lt;MIN(BorrowingMaxPeriod,$K$7)),$K$9/MIN(BorrowingMaxPeriod,$K$7),0)</f>
        <v>0</v>
      </c>
      <c r="O45" s="110">
        <f>IF(G45&gt;0,$K$9-SUM($N$18:N45),0)</f>
        <v>0</v>
      </c>
      <c r="P45" s="124"/>
      <c r="Q45" s="124"/>
      <c r="R45" s="124"/>
      <c r="S45" s="124"/>
      <c r="T45" s="124"/>
      <c r="U45" s="124"/>
      <c r="V45" s="124"/>
      <c r="W45" s="124"/>
    </row>
    <row r="46" spans="1:23" ht="15" customHeight="1" x14ac:dyDescent="0.2">
      <c r="A46" s="116" t="str">
        <f t="shared" si="10"/>
        <v>blank</v>
      </c>
      <c r="B46" s="117" t="str">
        <f t="shared" si="5"/>
        <v/>
      </c>
      <c r="C46" s="6"/>
      <c r="D46" s="38">
        <f>IF(DateCommence&gt;0,IF(COUNTIF($D$18:D45,"&gt;0")&lt;$B$15,EOMONTH(D45,1),0),0)</f>
        <v>0</v>
      </c>
      <c r="E46" s="39">
        <f t="shared" si="7"/>
        <v>0</v>
      </c>
      <c r="F46" s="40">
        <f t="shared" si="8"/>
        <v>0</v>
      </c>
      <c r="G46" s="40">
        <f>IF(COUNTIF($G$18:G45,"&gt;0")&lt;$K$7,$K$6,0)+IF(AND($K$8&gt;0,D46=$B$13),$K$8,0)</f>
        <v>0</v>
      </c>
      <c r="H46" s="41">
        <f t="shared" si="2"/>
        <v>0</v>
      </c>
      <c r="I46" s="44">
        <f t="shared" si="9"/>
        <v>0</v>
      </c>
      <c r="J46" s="40">
        <f t="shared" si="3"/>
        <v>0</v>
      </c>
      <c r="K46" s="41">
        <f t="shared" si="4"/>
        <v>0</v>
      </c>
      <c r="L46" s="39">
        <f t="shared" si="6"/>
        <v>0</v>
      </c>
      <c r="M46" s="41">
        <f>IF(I46&gt;0,SUM(F59:$F$107),0)</f>
        <v>0</v>
      </c>
      <c r="N46" s="39">
        <f>IF(AND($K$9&gt;BorrowingWriteOff,COUNTIF($N$18:N45,"&gt;0")&lt;MIN(BorrowingMaxPeriod,$K$7)),$K$9/MIN(BorrowingMaxPeriod,$K$7),0)</f>
        <v>0</v>
      </c>
      <c r="O46" s="111">
        <f>IF(G46&gt;0,$K$9-SUM($N$18:N46),0)</f>
        <v>0</v>
      </c>
      <c r="P46" s="124"/>
      <c r="Q46" s="124"/>
      <c r="R46" s="124"/>
      <c r="S46" s="124"/>
      <c r="T46" s="124"/>
      <c r="U46" s="124"/>
      <c r="V46" s="124"/>
      <c r="W46" s="124"/>
    </row>
    <row r="47" spans="1:23" ht="15" customHeight="1" x14ac:dyDescent="0.2">
      <c r="A47" s="116" t="str">
        <f t="shared" si="10"/>
        <v>blank</v>
      </c>
      <c r="B47" s="117" t="str">
        <f t="shared" si="5"/>
        <v/>
      </c>
      <c r="C47" s="6"/>
      <c r="D47" s="58">
        <f>IF(DateCommence&gt;0,IF(COUNTIF($D$18:D46,"&gt;0")&lt;$B$15,EOMONTH(D46,1),0),0)</f>
        <v>0</v>
      </c>
      <c r="E47" s="59">
        <f t="shared" si="7"/>
        <v>0</v>
      </c>
      <c r="F47" s="60">
        <f t="shared" si="8"/>
        <v>0</v>
      </c>
      <c r="G47" s="60">
        <f>IF(COUNTIF($G$18:G46,"&gt;0")&lt;$K$7,$K$6,0)+IF(AND($K$8&gt;0,D47=$B$13),$K$8,0)</f>
        <v>0</v>
      </c>
      <c r="H47" s="61">
        <f t="shared" si="2"/>
        <v>0</v>
      </c>
      <c r="I47" s="45">
        <f t="shared" si="9"/>
        <v>0</v>
      </c>
      <c r="J47" s="60">
        <f t="shared" si="3"/>
        <v>0</v>
      </c>
      <c r="K47" s="61">
        <f t="shared" si="4"/>
        <v>0</v>
      </c>
      <c r="L47" s="59">
        <f t="shared" si="6"/>
        <v>0</v>
      </c>
      <c r="M47" s="61">
        <f>IF(I47&gt;0,SUM(F60:$F$107),0)</f>
        <v>0</v>
      </c>
      <c r="N47" s="59">
        <f>IF(AND($K$9&gt;BorrowingWriteOff,COUNTIF($N$18:N46,"&gt;0")&lt;MIN(BorrowingMaxPeriod,$K$7)),$K$9/MIN(BorrowingMaxPeriod,$K$7),0)</f>
        <v>0</v>
      </c>
      <c r="O47" s="112">
        <f>IF(G47&gt;0,$K$9-SUM($N$18:N47),0)</f>
        <v>0</v>
      </c>
      <c r="P47" s="124"/>
      <c r="Q47" s="124"/>
      <c r="R47" s="124"/>
      <c r="S47" s="124"/>
      <c r="T47" s="124"/>
      <c r="U47" s="124"/>
      <c r="V47" s="124"/>
      <c r="W47" s="124"/>
    </row>
    <row r="48" spans="1:23" ht="15" customHeight="1" x14ac:dyDescent="0.2">
      <c r="A48" s="116" t="str">
        <f t="shared" si="10"/>
        <v>blank</v>
      </c>
      <c r="B48" s="117" t="str">
        <f t="shared" si="5"/>
        <v/>
      </c>
      <c r="C48" s="6"/>
      <c r="D48" s="47">
        <f>IF(DateCommence&gt;0,IF(COUNTIF($D$18:D47,"&gt;0")&lt;$B$15,EOMONTH(D47,1),0),0)</f>
        <v>0</v>
      </c>
      <c r="E48" s="48">
        <f t="shared" si="7"/>
        <v>0</v>
      </c>
      <c r="F48" s="50">
        <f t="shared" si="8"/>
        <v>0</v>
      </c>
      <c r="G48" s="50">
        <f>IF(COUNTIF($G$18:G47,"&gt;0")&lt;$K$7,$K$6,0)+IF(AND($K$8&gt;0,D48=$B$13),$K$8,0)</f>
        <v>0</v>
      </c>
      <c r="H48" s="51">
        <f t="shared" si="2"/>
        <v>0</v>
      </c>
      <c r="I48" s="57">
        <f t="shared" si="9"/>
        <v>0</v>
      </c>
      <c r="J48" s="50">
        <f t="shared" si="3"/>
        <v>0</v>
      </c>
      <c r="K48" s="51">
        <f t="shared" si="4"/>
        <v>0</v>
      </c>
      <c r="L48" s="48">
        <f t="shared" si="6"/>
        <v>0</v>
      </c>
      <c r="M48" s="51">
        <f>IF(I48&gt;0,SUM(F61:$F$107),0)</f>
        <v>0</v>
      </c>
      <c r="N48" s="48">
        <f>IF(AND($K$9&gt;BorrowingWriteOff,COUNTIF($N$18:N47,"&gt;0")&lt;MIN(BorrowingMaxPeriod,$K$7)),$K$9/MIN(BorrowingMaxPeriod,$K$7),0)</f>
        <v>0</v>
      </c>
      <c r="O48" s="110">
        <f>IF(G48&gt;0,$K$9-SUM($N$18:N48),0)</f>
        <v>0</v>
      </c>
      <c r="P48" s="124"/>
      <c r="Q48" s="124"/>
      <c r="R48" s="124"/>
      <c r="S48" s="124"/>
      <c r="T48" s="124"/>
      <c r="U48" s="124"/>
      <c r="V48" s="124"/>
      <c r="W48" s="124"/>
    </row>
    <row r="49" spans="1:23" ht="15" customHeight="1" x14ac:dyDescent="0.2">
      <c r="A49" s="116" t="str">
        <f t="shared" si="10"/>
        <v>blank</v>
      </c>
      <c r="B49" s="117" t="str">
        <f t="shared" si="5"/>
        <v/>
      </c>
      <c r="C49" s="6"/>
      <c r="D49" s="38">
        <f>IF(DateCommence&gt;0,IF(COUNTIF($D$18:D48,"&gt;0")&lt;$B$15,EOMONTH(D48,1),0),0)</f>
        <v>0</v>
      </c>
      <c r="E49" s="39">
        <f t="shared" si="7"/>
        <v>0</v>
      </c>
      <c r="F49" s="40">
        <f t="shared" si="8"/>
        <v>0</v>
      </c>
      <c r="G49" s="40">
        <f>IF(COUNTIF($G$18:G48,"&gt;0")&lt;$K$7,$K$6,0)+IF(AND($K$8&gt;0,D49=$B$13),$K$8,0)</f>
        <v>0</v>
      </c>
      <c r="H49" s="41">
        <f t="shared" si="2"/>
        <v>0</v>
      </c>
      <c r="I49" s="44">
        <f t="shared" si="9"/>
        <v>0</v>
      </c>
      <c r="J49" s="40">
        <f t="shared" si="3"/>
        <v>0</v>
      </c>
      <c r="K49" s="41">
        <f t="shared" si="4"/>
        <v>0</v>
      </c>
      <c r="L49" s="39">
        <f t="shared" si="6"/>
        <v>0</v>
      </c>
      <c r="M49" s="41">
        <f>IF(I49&gt;0,SUM(F62:$F$107),0)</f>
        <v>0</v>
      </c>
      <c r="N49" s="39">
        <f>IF(AND($K$9&gt;BorrowingWriteOff,COUNTIF($N$18:N48,"&gt;0")&lt;MIN(BorrowingMaxPeriod,$K$7)),$K$9/MIN(BorrowingMaxPeriod,$K$7),0)</f>
        <v>0</v>
      </c>
      <c r="O49" s="111">
        <f>IF(G49&gt;0,$K$9-SUM($N$18:N49),0)</f>
        <v>0</v>
      </c>
      <c r="P49" s="124"/>
      <c r="Q49" s="124"/>
      <c r="R49" s="124"/>
      <c r="S49" s="124"/>
      <c r="T49" s="124"/>
      <c r="U49" s="124"/>
      <c r="V49" s="124"/>
      <c r="W49" s="124"/>
    </row>
    <row r="50" spans="1:23" ht="15" customHeight="1" x14ac:dyDescent="0.2">
      <c r="A50" s="116" t="str">
        <f t="shared" si="10"/>
        <v>blank</v>
      </c>
      <c r="B50" s="117" t="str">
        <f t="shared" si="5"/>
        <v/>
      </c>
      <c r="C50" s="6"/>
      <c r="D50" s="58">
        <f>IF(DateCommence&gt;0,IF(COUNTIF($D$18:D49,"&gt;0")&lt;$B$15,EOMONTH(D49,1),0),0)</f>
        <v>0</v>
      </c>
      <c r="E50" s="59">
        <f t="shared" si="7"/>
        <v>0</v>
      </c>
      <c r="F50" s="60">
        <f t="shared" si="8"/>
        <v>0</v>
      </c>
      <c r="G50" s="60">
        <f>IF(COUNTIF($G$18:G49,"&gt;0")&lt;$K$7,$K$6,0)+IF(AND($K$8&gt;0,D50=$B$13),$K$8,0)</f>
        <v>0</v>
      </c>
      <c r="H50" s="61">
        <f t="shared" ref="H50:H81" si="11">IF(D50&gt;0,ROUND(E50+F50-G50,8),0)</f>
        <v>0</v>
      </c>
      <c r="I50" s="45">
        <f t="shared" si="9"/>
        <v>0</v>
      </c>
      <c r="J50" s="60">
        <f t="shared" ref="J50:J81" si="12">IF(I50&gt;0,SUM(G51:G62),0)</f>
        <v>0</v>
      </c>
      <c r="K50" s="61">
        <f t="shared" ref="K50:K81" si="13">IF(I50&gt;J50,I50-J50,0)</f>
        <v>0</v>
      </c>
      <c r="L50" s="59">
        <f t="shared" si="6"/>
        <v>0</v>
      </c>
      <c r="M50" s="61">
        <f>IF(I50&gt;0,SUM(F63:$F$107),0)</f>
        <v>0</v>
      </c>
      <c r="N50" s="59">
        <f>IF(AND($K$9&gt;BorrowingWriteOff,COUNTIF($N$18:N49,"&gt;0")&lt;MIN(BorrowingMaxPeriod,$K$7)),$K$9/MIN(BorrowingMaxPeriod,$K$7),0)</f>
        <v>0</v>
      </c>
      <c r="O50" s="112">
        <f>IF(G50&gt;0,$K$9-SUM($N$18:N50),0)</f>
        <v>0</v>
      </c>
      <c r="P50" s="124"/>
      <c r="Q50" s="124"/>
      <c r="R50" s="124"/>
      <c r="S50" s="124"/>
      <c r="T50" s="124"/>
      <c r="U50" s="124"/>
      <c r="V50" s="124"/>
      <c r="W50" s="124"/>
    </row>
    <row r="51" spans="1:23" ht="15" customHeight="1" x14ac:dyDescent="0.2">
      <c r="A51" s="116" t="str">
        <f t="shared" si="10"/>
        <v>blank</v>
      </c>
      <c r="B51" s="117" t="str">
        <f t="shared" si="5"/>
        <v/>
      </c>
      <c r="C51" s="6"/>
      <c r="D51" s="47">
        <f>IF(DateCommence&gt;0,IF(COUNTIF($D$18:D50,"&gt;0")&lt;$B$15,EOMONTH(D50,1),0),0)</f>
        <v>0</v>
      </c>
      <c r="E51" s="48">
        <f t="shared" si="7"/>
        <v>0</v>
      </c>
      <c r="F51" s="50">
        <f t="shared" si="8"/>
        <v>0</v>
      </c>
      <c r="G51" s="50">
        <f>IF(COUNTIF($G$18:G50,"&gt;0")&lt;$K$7,$K$6,0)+IF(AND($K$8&gt;0,D51=$B$13),$K$8,0)</f>
        <v>0</v>
      </c>
      <c r="H51" s="51">
        <f t="shared" si="11"/>
        <v>0</v>
      </c>
      <c r="I51" s="57">
        <f t="shared" si="9"/>
        <v>0</v>
      </c>
      <c r="J51" s="50">
        <f t="shared" si="12"/>
        <v>0</v>
      </c>
      <c r="K51" s="51">
        <f t="shared" si="13"/>
        <v>0</v>
      </c>
      <c r="L51" s="48">
        <f t="shared" si="6"/>
        <v>0</v>
      </c>
      <c r="M51" s="51">
        <f>IF(I51&gt;0,SUM(F64:$F$107),0)</f>
        <v>0</v>
      </c>
      <c r="N51" s="48">
        <f>IF(AND($K$9&gt;BorrowingWriteOff,COUNTIF($N$18:N50,"&gt;0")&lt;MIN(BorrowingMaxPeriod,$K$7)),$K$9/MIN(BorrowingMaxPeriod,$K$7),0)</f>
        <v>0</v>
      </c>
      <c r="O51" s="110">
        <f>IF(G51&gt;0,$K$9-SUM($N$18:N51),0)</f>
        <v>0</v>
      </c>
      <c r="P51" s="124"/>
      <c r="Q51" s="124"/>
      <c r="R51" s="124"/>
      <c r="S51" s="124"/>
      <c r="T51" s="124"/>
      <c r="U51" s="124"/>
      <c r="V51" s="124"/>
      <c r="W51" s="124"/>
    </row>
    <row r="52" spans="1:23" ht="15" customHeight="1" x14ac:dyDescent="0.2">
      <c r="A52" s="116" t="str">
        <f t="shared" si="10"/>
        <v>blank</v>
      </c>
      <c r="B52" s="117" t="str">
        <f t="shared" si="5"/>
        <v/>
      </c>
      <c r="C52" s="6"/>
      <c r="D52" s="38">
        <f>IF(DateCommence&gt;0,IF(COUNTIF($D$18:D51,"&gt;0")&lt;$B$15,EOMONTH(D51,1),0),0)</f>
        <v>0</v>
      </c>
      <c r="E52" s="39">
        <f t="shared" si="7"/>
        <v>0</v>
      </c>
      <c r="F52" s="40">
        <f t="shared" si="8"/>
        <v>0</v>
      </c>
      <c r="G52" s="40">
        <f>IF(COUNTIF($G$18:G51,"&gt;0")&lt;$K$7,$K$6,0)+IF(AND($K$8&gt;0,D52=$B$13),$K$8,0)</f>
        <v>0</v>
      </c>
      <c r="H52" s="41">
        <f t="shared" si="11"/>
        <v>0</v>
      </c>
      <c r="I52" s="44">
        <f t="shared" si="9"/>
        <v>0</v>
      </c>
      <c r="J52" s="40">
        <f t="shared" si="12"/>
        <v>0</v>
      </c>
      <c r="K52" s="41">
        <f t="shared" si="13"/>
        <v>0</v>
      </c>
      <c r="L52" s="39">
        <f t="shared" ref="L52:L83" si="14">SUM(F53:F64)</f>
        <v>0</v>
      </c>
      <c r="M52" s="41">
        <f>IF(I52&gt;0,SUM(F65:$F$107),0)</f>
        <v>0</v>
      </c>
      <c r="N52" s="39">
        <f>IF(AND($K$9&gt;BorrowingWriteOff,COUNTIF($N$18:N51,"&gt;0")&lt;MIN(BorrowingMaxPeriod,$K$7)),$K$9/MIN(BorrowingMaxPeriod,$K$7),0)</f>
        <v>0</v>
      </c>
      <c r="O52" s="111">
        <f>IF(G52&gt;0,$K$9-SUM($N$18:N52),0)</f>
        <v>0</v>
      </c>
      <c r="P52" s="124"/>
      <c r="Q52" s="124"/>
      <c r="R52" s="124"/>
      <c r="S52" s="124"/>
      <c r="T52" s="124"/>
      <c r="U52" s="124"/>
      <c r="V52" s="124"/>
      <c r="W52" s="124"/>
    </row>
    <row r="53" spans="1:23" ht="15" customHeight="1" x14ac:dyDescent="0.2">
      <c r="A53" s="116" t="str">
        <f t="shared" si="10"/>
        <v>blank</v>
      </c>
      <c r="B53" s="117" t="str">
        <f t="shared" si="5"/>
        <v/>
      </c>
      <c r="C53" s="6"/>
      <c r="D53" s="58">
        <f>IF(DateCommence&gt;0,IF(COUNTIF($D$18:D52,"&gt;0")&lt;$B$15,EOMONTH(D52,1),0),0)</f>
        <v>0</v>
      </c>
      <c r="E53" s="59">
        <f t="shared" ref="E53:E84" si="15">IF(AND(H52&gt;0,D53&gt;0),H52,0)</f>
        <v>0</v>
      </c>
      <c r="F53" s="60">
        <f t="shared" ref="F53:F84" si="16">IF(AND($K$8&gt;0,OR($E$9="One Month From Commencement",$E$9="Please Select"),D53=$B$13),0,E53*$G$11)</f>
        <v>0</v>
      </c>
      <c r="G53" s="60">
        <f>IF(COUNTIF($G$18:G52,"&gt;0")&lt;$K$7,$K$6,0)+IF(AND($K$8&gt;0,D53=$B$13),$K$8,0)</f>
        <v>0</v>
      </c>
      <c r="H53" s="61">
        <f t="shared" si="11"/>
        <v>0</v>
      </c>
      <c r="I53" s="45">
        <f t="shared" ref="I53:I84" si="17">ROUND(I52-G53,2)</f>
        <v>0</v>
      </c>
      <c r="J53" s="60">
        <f t="shared" si="12"/>
        <v>0</v>
      </c>
      <c r="K53" s="61">
        <f t="shared" si="13"/>
        <v>0</v>
      </c>
      <c r="L53" s="59">
        <f t="shared" si="14"/>
        <v>0</v>
      </c>
      <c r="M53" s="61">
        <f>IF(I53&gt;0,SUM(F66:$F$107),0)</f>
        <v>0</v>
      </c>
      <c r="N53" s="59">
        <f>IF(AND($K$9&gt;BorrowingWriteOff,COUNTIF($N$18:N52,"&gt;0")&lt;MIN(BorrowingMaxPeriod,$K$7)),$K$9/MIN(BorrowingMaxPeriod,$K$7),0)</f>
        <v>0</v>
      </c>
      <c r="O53" s="112">
        <f>IF(G53&gt;0,$K$9-SUM($N$18:N53),0)</f>
        <v>0</v>
      </c>
      <c r="P53" s="124"/>
      <c r="Q53" s="124"/>
      <c r="R53" s="124"/>
      <c r="S53" s="124"/>
      <c r="T53" s="124"/>
      <c r="U53" s="124"/>
      <c r="V53" s="124"/>
      <c r="W53" s="124"/>
    </row>
    <row r="54" spans="1:23" ht="15" customHeight="1" x14ac:dyDescent="0.2">
      <c r="A54" s="116" t="str">
        <f t="shared" si="10"/>
        <v>blank</v>
      </c>
      <c r="B54" s="117" t="str">
        <f t="shared" si="5"/>
        <v/>
      </c>
      <c r="C54" s="6"/>
      <c r="D54" s="47">
        <f>IF(DateCommence&gt;0,IF(COUNTIF($D$18:D53,"&gt;0")&lt;$B$15,EOMONTH(D53,1),0),0)</f>
        <v>0</v>
      </c>
      <c r="E54" s="48">
        <f t="shared" si="15"/>
        <v>0</v>
      </c>
      <c r="F54" s="50">
        <f t="shared" si="16"/>
        <v>0</v>
      </c>
      <c r="G54" s="50">
        <f>IF(COUNTIF($G$18:G53,"&gt;0")&lt;$K$7,$K$6,0)+IF(AND($K$8&gt;0,D54=$B$13),$K$8,0)</f>
        <v>0</v>
      </c>
      <c r="H54" s="51">
        <f t="shared" si="11"/>
        <v>0</v>
      </c>
      <c r="I54" s="57">
        <f t="shared" si="17"/>
        <v>0</v>
      </c>
      <c r="J54" s="50">
        <f t="shared" si="12"/>
        <v>0</v>
      </c>
      <c r="K54" s="51">
        <f t="shared" si="13"/>
        <v>0</v>
      </c>
      <c r="L54" s="48">
        <f t="shared" si="14"/>
        <v>0</v>
      </c>
      <c r="M54" s="51">
        <f>IF(I54&gt;0,SUM(F67:$F$107),0)</f>
        <v>0</v>
      </c>
      <c r="N54" s="48">
        <f>IF(AND($K$9&gt;BorrowingWriteOff,COUNTIF($N$18:N53,"&gt;0")&lt;MIN(BorrowingMaxPeriod,$K$7)),$K$9/MIN(BorrowingMaxPeriod,$K$7),0)</f>
        <v>0</v>
      </c>
      <c r="O54" s="110">
        <f>IF(G54&gt;0,$K$9-SUM($N$18:N54),0)</f>
        <v>0</v>
      </c>
      <c r="P54" s="124"/>
      <c r="Q54" s="124"/>
      <c r="R54" s="124"/>
      <c r="S54" s="124"/>
      <c r="T54" s="124"/>
      <c r="U54" s="124"/>
      <c r="V54" s="124"/>
      <c r="W54" s="124"/>
    </row>
    <row r="55" spans="1:23" ht="15" customHeight="1" x14ac:dyDescent="0.2">
      <c r="A55" s="116" t="str">
        <f t="shared" si="10"/>
        <v>blank</v>
      </c>
      <c r="B55" s="117" t="str">
        <f t="shared" si="5"/>
        <v/>
      </c>
      <c r="C55" s="6"/>
      <c r="D55" s="38">
        <f>IF(DateCommence&gt;0,IF(COUNTIF($D$18:D54,"&gt;0")&lt;$B$15,EOMONTH(D54,1),0),0)</f>
        <v>0</v>
      </c>
      <c r="E55" s="39">
        <f t="shared" si="15"/>
        <v>0</v>
      </c>
      <c r="F55" s="40">
        <f t="shared" si="16"/>
        <v>0</v>
      </c>
      <c r="G55" s="40">
        <f>IF(COUNTIF($G$18:G54,"&gt;0")&lt;$K$7,$K$6,0)+IF(AND($K$8&gt;0,D55=$B$13),$K$8,0)</f>
        <v>0</v>
      </c>
      <c r="H55" s="41">
        <f t="shared" si="11"/>
        <v>0</v>
      </c>
      <c r="I55" s="44">
        <f t="shared" si="17"/>
        <v>0</v>
      </c>
      <c r="J55" s="40">
        <f t="shared" si="12"/>
        <v>0</v>
      </c>
      <c r="K55" s="41">
        <f t="shared" si="13"/>
        <v>0</v>
      </c>
      <c r="L55" s="39">
        <f t="shared" si="14"/>
        <v>0</v>
      </c>
      <c r="M55" s="41">
        <f>IF(I55&gt;0,SUM(F68:$F$107),0)</f>
        <v>0</v>
      </c>
      <c r="N55" s="39">
        <f>IF(AND($K$9&gt;BorrowingWriteOff,COUNTIF($N$18:N54,"&gt;0")&lt;MIN(BorrowingMaxPeriod,$K$7)),$K$9/MIN(BorrowingMaxPeriod,$K$7),0)</f>
        <v>0</v>
      </c>
      <c r="O55" s="111">
        <f>IF(G55&gt;0,$K$9-SUM($N$18:N55),0)</f>
        <v>0</v>
      </c>
      <c r="P55" s="124"/>
      <c r="Q55" s="124"/>
      <c r="R55" s="124"/>
      <c r="S55" s="124"/>
      <c r="T55" s="124"/>
      <c r="U55" s="124"/>
      <c r="V55" s="124"/>
      <c r="W55" s="124"/>
    </row>
    <row r="56" spans="1:23" ht="15" customHeight="1" x14ac:dyDescent="0.2">
      <c r="A56" s="116" t="str">
        <f t="shared" si="10"/>
        <v>blank</v>
      </c>
      <c r="B56" s="117" t="str">
        <f t="shared" si="5"/>
        <v/>
      </c>
      <c r="C56" s="6"/>
      <c r="D56" s="58">
        <f>IF(DateCommence&gt;0,IF(COUNTIF($D$18:D55,"&gt;0")&lt;$B$15,EOMONTH(D55,1),0),0)</f>
        <v>0</v>
      </c>
      <c r="E56" s="59">
        <f t="shared" si="15"/>
        <v>0</v>
      </c>
      <c r="F56" s="60">
        <f t="shared" si="16"/>
        <v>0</v>
      </c>
      <c r="G56" s="60">
        <f>IF(COUNTIF($G$18:G55,"&gt;0")&lt;$K$7,$K$6,0)+IF(AND($K$8&gt;0,D56=$B$13),$K$8,0)</f>
        <v>0</v>
      </c>
      <c r="H56" s="61">
        <f t="shared" si="11"/>
        <v>0</v>
      </c>
      <c r="I56" s="45">
        <f t="shared" si="17"/>
        <v>0</v>
      </c>
      <c r="J56" s="60">
        <f t="shared" si="12"/>
        <v>0</v>
      </c>
      <c r="K56" s="61">
        <f t="shared" si="13"/>
        <v>0</v>
      </c>
      <c r="L56" s="59">
        <f t="shared" si="14"/>
        <v>0</v>
      </c>
      <c r="M56" s="61">
        <f>IF(I56&gt;0,SUM(F69:$F$107),0)</f>
        <v>0</v>
      </c>
      <c r="N56" s="59">
        <f>IF(AND($K$9&gt;BorrowingWriteOff,COUNTIF($N$18:N55,"&gt;0")&lt;MIN(BorrowingMaxPeriod,$K$7)),$K$9/MIN(BorrowingMaxPeriod,$K$7),0)</f>
        <v>0</v>
      </c>
      <c r="O56" s="112">
        <f>IF(G56&gt;0,$K$9-SUM($N$18:N56),0)</f>
        <v>0</v>
      </c>
      <c r="P56" s="124"/>
      <c r="Q56" s="124"/>
      <c r="R56" s="124"/>
      <c r="S56" s="124"/>
      <c r="T56" s="124"/>
      <c r="U56" s="124"/>
      <c r="V56" s="124"/>
      <c r="W56" s="124"/>
    </row>
    <row r="57" spans="1:23" ht="15" customHeight="1" x14ac:dyDescent="0.2">
      <c r="A57" s="116" t="str">
        <f t="shared" si="10"/>
        <v>blank</v>
      </c>
      <c r="B57" s="117" t="str">
        <f t="shared" si="5"/>
        <v/>
      </c>
      <c r="C57" s="6"/>
      <c r="D57" s="47">
        <f>IF(DateCommence&gt;0,IF(COUNTIF($D$18:D56,"&gt;0")&lt;$B$15,EOMONTH(D56,1),0),0)</f>
        <v>0</v>
      </c>
      <c r="E57" s="48">
        <f t="shared" si="15"/>
        <v>0</v>
      </c>
      <c r="F57" s="50">
        <f t="shared" si="16"/>
        <v>0</v>
      </c>
      <c r="G57" s="50">
        <f>IF(COUNTIF($G$18:G56,"&gt;0")&lt;$K$7,$K$6,0)+IF(AND($K$8&gt;0,D57=$B$13),$K$8,0)</f>
        <v>0</v>
      </c>
      <c r="H57" s="51">
        <f t="shared" si="11"/>
        <v>0</v>
      </c>
      <c r="I57" s="57">
        <f t="shared" si="17"/>
        <v>0</v>
      </c>
      <c r="J57" s="50">
        <f t="shared" si="12"/>
        <v>0</v>
      </c>
      <c r="K57" s="51">
        <f t="shared" si="13"/>
        <v>0</v>
      </c>
      <c r="L57" s="48">
        <f t="shared" si="14"/>
        <v>0</v>
      </c>
      <c r="M57" s="51">
        <f>IF(I57&gt;0,SUM(F70:$F$107),0)</f>
        <v>0</v>
      </c>
      <c r="N57" s="48">
        <f>IF(AND($K$9&gt;BorrowingWriteOff,COUNTIF($N$18:N56,"&gt;0")&lt;MIN(BorrowingMaxPeriod,$K$7)),$K$9/MIN(BorrowingMaxPeriod,$K$7),0)</f>
        <v>0</v>
      </c>
      <c r="O57" s="110">
        <f>IF(G57&gt;0,$K$9-SUM($N$18:N57),0)</f>
        <v>0</v>
      </c>
      <c r="P57" s="124"/>
      <c r="Q57" s="124"/>
      <c r="R57" s="124"/>
      <c r="S57" s="124"/>
      <c r="T57" s="124"/>
      <c r="U57" s="124"/>
      <c r="V57" s="124"/>
      <c r="W57" s="124"/>
    </row>
    <row r="58" spans="1:23" ht="15" customHeight="1" x14ac:dyDescent="0.2">
      <c r="A58" s="116" t="str">
        <f t="shared" si="10"/>
        <v>blank</v>
      </c>
      <c r="B58" s="117" t="str">
        <f t="shared" si="5"/>
        <v/>
      </c>
      <c r="C58" s="6"/>
      <c r="D58" s="38">
        <f>IF(DateCommence&gt;0,IF(COUNTIF($D$18:D57,"&gt;0")&lt;$B$15,EOMONTH(D57,1),0),0)</f>
        <v>0</v>
      </c>
      <c r="E58" s="39">
        <f t="shared" si="15"/>
        <v>0</v>
      </c>
      <c r="F58" s="40">
        <f t="shared" si="16"/>
        <v>0</v>
      </c>
      <c r="G58" s="40">
        <f>IF(COUNTIF($G$18:G57,"&gt;0")&lt;$K$7,$K$6,0)+IF(AND($K$8&gt;0,D58=$B$13),$K$8,0)</f>
        <v>0</v>
      </c>
      <c r="H58" s="41">
        <f t="shared" si="11"/>
        <v>0</v>
      </c>
      <c r="I58" s="44">
        <f t="shared" si="17"/>
        <v>0</v>
      </c>
      <c r="J58" s="40">
        <f t="shared" si="12"/>
        <v>0</v>
      </c>
      <c r="K58" s="41">
        <f t="shared" si="13"/>
        <v>0</v>
      </c>
      <c r="L58" s="39">
        <f t="shared" si="14"/>
        <v>0</v>
      </c>
      <c r="M58" s="41">
        <f>IF(I58&gt;0,SUM(F71:$F$107),0)</f>
        <v>0</v>
      </c>
      <c r="N58" s="39">
        <f>IF(AND($K$9&gt;BorrowingWriteOff,COUNTIF($N$18:N57,"&gt;0")&lt;MIN(BorrowingMaxPeriod,$K$7)),$K$9/MIN(BorrowingMaxPeriod,$K$7),0)</f>
        <v>0</v>
      </c>
      <c r="O58" s="111">
        <f>IF(G58&gt;0,$K$9-SUM($N$18:N58),0)</f>
        <v>0</v>
      </c>
      <c r="P58" s="124"/>
      <c r="Q58" s="124"/>
      <c r="R58" s="124"/>
      <c r="S58" s="124"/>
      <c r="T58" s="124"/>
      <c r="U58" s="124"/>
      <c r="V58" s="124"/>
      <c r="W58" s="124"/>
    </row>
    <row r="59" spans="1:23" ht="15" customHeight="1" x14ac:dyDescent="0.2">
      <c r="A59" s="116" t="str">
        <f t="shared" si="10"/>
        <v>blank</v>
      </c>
      <c r="B59" s="117" t="str">
        <f t="shared" si="5"/>
        <v/>
      </c>
      <c r="C59" s="6"/>
      <c r="D59" s="58">
        <f>IF(DateCommence&gt;0,IF(COUNTIF($D$18:D58,"&gt;0")&lt;$B$15,EOMONTH(D58,1),0),0)</f>
        <v>0</v>
      </c>
      <c r="E59" s="59">
        <f t="shared" si="15"/>
        <v>0</v>
      </c>
      <c r="F59" s="60">
        <f t="shared" si="16"/>
        <v>0</v>
      </c>
      <c r="G59" s="60">
        <f>IF(COUNTIF($G$18:G58,"&gt;0")&lt;$K$7,$K$6,0)+IF(AND($K$8&gt;0,D59=$B$13),$K$8,0)</f>
        <v>0</v>
      </c>
      <c r="H59" s="61">
        <f t="shared" si="11"/>
        <v>0</v>
      </c>
      <c r="I59" s="45">
        <f t="shared" si="17"/>
        <v>0</v>
      </c>
      <c r="J59" s="60">
        <f t="shared" si="12"/>
        <v>0</v>
      </c>
      <c r="K59" s="61">
        <f t="shared" si="13"/>
        <v>0</v>
      </c>
      <c r="L59" s="59">
        <f t="shared" si="14"/>
        <v>0</v>
      </c>
      <c r="M59" s="61">
        <f>IF(I59&gt;0,SUM(F72:$F$107),0)</f>
        <v>0</v>
      </c>
      <c r="N59" s="59">
        <f>IF(AND($K$9&gt;BorrowingWriteOff,COUNTIF($N$18:N58,"&gt;0")&lt;MIN(BorrowingMaxPeriod,$K$7)),$K$9/MIN(BorrowingMaxPeriod,$K$7),0)</f>
        <v>0</v>
      </c>
      <c r="O59" s="112">
        <f>IF(G59&gt;0,$K$9-SUM($N$18:N59),0)</f>
        <v>0</v>
      </c>
      <c r="P59" s="124"/>
      <c r="Q59" s="124"/>
      <c r="R59" s="124"/>
      <c r="S59" s="124"/>
      <c r="T59" s="124"/>
      <c r="U59" s="124"/>
      <c r="V59" s="124"/>
      <c r="W59" s="124"/>
    </row>
    <row r="60" spans="1:23" ht="15" customHeight="1" x14ac:dyDescent="0.2">
      <c r="A60" s="116" t="str">
        <f t="shared" si="10"/>
        <v>blank</v>
      </c>
      <c r="B60" s="117" t="str">
        <f t="shared" si="5"/>
        <v/>
      </c>
      <c r="C60" s="6"/>
      <c r="D60" s="47">
        <f>IF(DateCommence&gt;0,IF(COUNTIF($D$18:D59,"&gt;0")&lt;$B$15,EOMONTH(D59,1),0),0)</f>
        <v>0</v>
      </c>
      <c r="E60" s="48">
        <f t="shared" si="15"/>
        <v>0</v>
      </c>
      <c r="F60" s="50">
        <f t="shared" si="16"/>
        <v>0</v>
      </c>
      <c r="G60" s="50">
        <f>IF(COUNTIF($G$18:G59,"&gt;0")&lt;$K$7,$K$6,0)+IF(AND($K$8&gt;0,D60=$B$13),$K$8,0)</f>
        <v>0</v>
      </c>
      <c r="H60" s="51">
        <f t="shared" si="11"/>
        <v>0</v>
      </c>
      <c r="I60" s="57">
        <f t="shared" si="17"/>
        <v>0</v>
      </c>
      <c r="J60" s="50">
        <f t="shared" si="12"/>
        <v>0</v>
      </c>
      <c r="K60" s="51">
        <f t="shared" si="13"/>
        <v>0</v>
      </c>
      <c r="L60" s="48">
        <f t="shared" si="14"/>
        <v>0</v>
      </c>
      <c r="M60" s="51">
        <f>IF(I60&gt;0,SUM(F73:$F$107),0)</f>
        <v>0</v>
      </c>
      <c r="N60" s="48">
        <f>IF(AND($K$9&gt;BorrowingWriteOff,COUNTIF($N$18:N59,"&gt;0")&lt;MIN(BorrowingMaxPeriod,$K$7)),$K$9/MIN(BorrowingMaxPeriod,$K$7),0)</f>
        <v>0</v>
      </c>
      <c r="O60" s="110">
        <f>IF(G60&gt;0,$K$9-SUM($N$18:N60),0)</f>
        <v>0</v>
      </c>
      <c r="P60" s="124"/>
      <c r="Q60" s="124"/>
      <c r="R60" s="124"/>
      <c r="S60" s="124"/>
      <c r="T60" s="124"/>
      <c r="U60" s="124"/>
      <c r="V60" s="124"/>
      <c r="W60" s="124"/>
    </row>
    <row r="61" spans="1:23" ht="15" customHeight="1" x14ac:dyDescent="0.2">
      <c r="A61" s="116" t="str">
        <f t="shared" si="10"/>
        <v>blank</v>
      </c>
      <c r="B61" s="117" t="str">
        <f t="shared" si="5"/>
        <v/>
      </c>
      <c r="C61" s="6"/>
      <c r="D61" s="38">
        <f>IF(DateCommence&gt;0,IF(COUNTIF($D$18:D60,"&gt;0")&lt;$B$15,EOMONTH(D60,1),0),0)</f>
        <v>0</v>
      </c>
      <c r="E61" s="39">
        <f t="shared" si="15"/>
        <v>0</v>
      </c>
      <c r="F61" s="40">
        <f t="shared" si="16"/>
        <v>0</v>
      </c>
      <c r="G61" s="40">
        <f>IF(COUNTIF($G$18:G60,"&gt;0")&lt;$K$7,$K$6,0)+IF(AND($K$8&gt;0,D61=$B$13),$K$8,0)</f>
        <v>0</v>
      </c>
      <c r="H61" s="41">
        <f t="shared" si="11"/>
        <v>0</v>
      </c>
      <c r="I61" s="44">
        <f t="shared" si="17"/>
        <v>0</v>
      </c>
      <c r="J61" s="40">
        <f t="shared" si="12"/>
        <v>0</v>
      </c>
      <c r="K61" s="41">
        <f t="shared" si="13"/>
        <v>0</v>
      </c>
      <c r="L61" s="39">
        <f t="shared" si="14"/>
        <v>0</v>
      </c>
      <c r="M61" s="41">
        <f>IF(I61&gt;0,SUM(F74:$F$107),0)</f>
        <v>0</v>
      </c>
      <c r="N61" s="39">
        <f>IF(AND($K$9&gt;BorrowingWriteOff,COUNTIF($N$18:N60,"&gt;0")&lt;MIN(BorrowingMaxPeriod,$K$7)),$K$9/MIN(BorrowingMaxPeriod,$K$7),0)</f>
        <v>0</v>
      </c>
      <c r="O61" s="111">
        <f>IF(G61&gt;0,$K$9-SUM($N$18:N61),0)</f>
        <v>0</v>
      </c>
      <c r="P61" s="124"/>
      <c r="Q61" s="124"/>
      <c r="R61" s="124"/>
      <c r="S61" s="124"/>
      <c r="T61" s="124"/>
      <c r="U61" s="124"/>
      <c r="V61" s="124"/>
      <c r="W61" s="124"/>
    </row>
    <row r="62" spans="1:23" ht="15" customHeight="1" x14ac:dyDescent="0.2">
      <c r="A62" s="116" t="str">
        <f t="shared" si="10"/>
        <v>blank</v>
      </c>
      <c r="B62" s="117" t="str">
        <f t="shared" si="5"/>
        <v/>
      </c>
      <c r="C62" s="6"/>
      <c r="D62" s="58">
        <f>IF(DateCommence&gt;0,IF(COUNTIF($D$18:D61,"&gt;0")&lt;$B$15,EOMONTH(D61,1),0),0)</f>
        <v>0</v>
      </c>
      <c r="E62" s="59">
        <f t="shared" si="15"/>
        <v>0</v>
      </c>
      <c r="F62" s="60">
        <f t="shared" si="16"/>
        <v>0</v>
      </c>
      <c r="G62" s="60">
        <f>IF(COUNTIF($G$18:G61,"&gt;0")&lt;$K$7,$K$6,0)+IF(AND($K$8&gt;0,D62=$B$13),$K$8,0)</f>
        <v>0</v>
      </c>
      <c r="H62" s="61">
        <f t="shared" si="11"/>
        <v>0</v>
      </c>
      <c r="I62" s="45">
        <f t="shared" si="17"/>
        <v>0</v>
      </c>
      <c r="J62" s="60">
        <f t="shared" si="12"/>
        <v>0</v>
      </c>
      <c r="K62" s="61">
        <f t="shared" si="13"/>
        <v>0</v>
      </c>
      <c r="L62" s="59">
        <f t="shared" si="14"/>
        <v>0</v>
      </c>
      <c r="M62" s="61">
        <f>IF(I62&gt;0,SUM(F75:$F$107),0)</f>
        <v>0</v>
      </c>
      <c r="N62" s="59">
        <f>IF(AND($K$9&gt;BorrowingWriteOff,COUNTIF($N$18:N61,"&gt;0")&lt;MIN(BorrowingMaxPeriod,$K$7)),$K$9/MIN(BorrowingMaxPeriod,$K$7),0)</f>
        <v>0</v>
      </c>
      <c r="O62" s="112">
        <f>IF(G62&gt;0,$K$9-SUM($N$18:N62),0)</f>
        <v>0</v>
      </c>
      <c r="P62" s="124"/>
      <c r="Q62" s="124"/>
      <c r="R62" s="124"/>
      <c r="S62" s="124"/>
      <c r="T62" s="124"/>
      <c r="U62" s="124"/>
      <c r="V62" s="124"/>
      <c r="W62" s="124"/>
    </row>
    <row r="63" spans="1:23" ht="15" customHeight="1" x14ac:dyDescent="0.2">
      <c r="A63" s="116" t="str">
        <f t="shared" si="10"/>
        <v>blank</v>
      </c>
      <c r="B63" s="117" t="str">
        <f t="shared" si="5"/>
        <v/>
      </c>
      <c r="C63" s="6"/>
      <c r="D63" s="47">
        <f>IF(DateCommence&gt;0,IF(COUNTIF($D$18:D62,"&gt;0")&lt;$B$15,EOMONTH(D62,1),0),0)</f>
        <v>0</v>
      </c>
      <c r="E63" s="48">
        <f t="shared" si="15"/>
        <v>0</v>
      </c>
      <c r="F63" s="50">
        <f t="shared" si="16"/>
        <v>0</v>
      </c>
      <c r="G63" s="50">
        <f>IF(COUNTIF($G$18:G62,"&gt;0")&lt;$K$7,$K$6,0)+IF(AND($K$8&gt;0,D63=$B$13),$K$8,0)</f>
        <v>0</v>
      </c>
      <c r="H63" s="51">
        <f t="shared" si="11"/>
        <v>0</v>
      </c>
      <c r="I63" s="57">
        <f t="shared" si="17"/>
        <v>0</v>
      </c>
      <c r="J63" s="50">
        <f t="shared" si="12"/>
        <v>0</v>
      </c>
      <c r="K63" s="51">
        <f t="shared" si="13"/>
        <v>0</v>
      </c>
      <c r="L63" s="48">
        <f t="shared" si="14"/>
        <v>0</v>
      </c>
      <c r="M63" s="51">
        <f>IF(I63&gt;0,SUM(F76:$F$107),0)</f>
        <v>0</v>
      </c>
      <c r="N63" s="48">
        <f>IF(AND($K$9&gt;BorrowingWriteOff,COUNTIF($N$18:N62,"&gt;0")&lt;MIN(BorrowingMaxPeriod,$K$7)),$K$9/MIN(BorrowingMaxPeriod,$K$7),0)</f>
        <v>0</v>
      </c>
      <c r="O63" s="110">
        <f>IF(G63&gt;0,$K$9-SUM($N$18:N63),0)</f>
        <v>0</v>
      </c>
      <c r="P63" s="124"/>
      <c r="Q63" s="124"/>
      <c r="R63" s="124"/>
      <c r="S63" s="124"/>
      <c r="T63" s="124"/>
      <c r="U63" s="124"/>
      <c r="V63" s="124"/>
      <c r="W63" s="124"/>
    </row>
    <row r="64" spans="1:23" ht="15" customHeight="1" x14ac:dyDescent="0.2">
      <c r="A64" s="116" t="str">
        <f t="shared" si="10"/>
        <v>blank</v>
      </c>
      <c r="B64" s="117" t="str">
        <f t="shared" si="5"/>
        <v/>
      </c>
      <c r="C64" s="6"/>
      <c r="D64" s="38">
        <f>IF(DateCommence&gt;0,IF(COUNTIF($D$18:D63,"&gt;0")&lt;$B$15,EOMONTH(D63,1),0),0)</f>
        <v>0</v>
      </c>
      <c r="E64" s="39">
        <f t="shared" si="15"/>
        <v>0</v>
      </c>
      <c r="F64" s="40">
        <f t="shared" si="16"/>
        <v>0</v>
      </c>
      <c r="G64" s="40">
        <f>IF(COUNTIF($G$18:G63,"&gt;0")&lt;$K$7,$K$6,0)+IF(AND($K$8&gt;0,D64=$B$13),$K$8,0)</f>
        <v>0</v>
      </c>
      <c r="H64" s="41">
        <f t="shared" si="11"/>
        <v>0</v>
      </c>
      <c r="I64" s="44">
        <f t="shared" si="17"/>
        <v>0</v>
      </c>
      <c r="J64" s="40">
        <f t="shared" si="12"/>
        <v>0</v>
      </c>
      <c r="K64" s="41">
        <f t="shared" si="13"/>
        <v>0</v>
      </c>
      <c r="L64" s="39">
        <f t="shared" si="14"/>
        <v>0</v>
      </c>
      <c r="M64" s="41">
        <f>IF(I64&gt;0,SUM(F77:$F$107),0)</f>
        <v>0</v>
      </c>
      <c r="N64" s="39">
        <f>IF(AND($K$9&gt;BorrowingWriteOff,COUNTIF($N$18:N63,"&gt;0")&lt;MIN(BorrowingMaxPeriod,$K$7)),$K$9/MIN(BorrowingMaxPeriod,$K$7),0)</f>
        <v>0</v>
      </c>
      <c r="O64" s="111">
        <f>IF(G64&gt;0,$K$9-SUM($N$18:N64),0)</f>
        <v>0</v>
      </c>
      <c r="P64" s="124"/>
      <c r="Q64" s="124"/>
      <c r="R64" s="124"/>
      <c r="S64" s="124"/>
      <c r="T64" s="124"/>
      <c r="U64" s="124"/>
      <c r="V64" s="124"/>
      <c r="W64" s="124"/>
    </row>
    <row r="65" spans="1:23" ht="15" customHeight="1" x14ac:dyDescent="0.2">
      <c r="A65" s="116" t="str">
        <f t="shared" si="10"/>
        <v>blank</v>
      </c>
      <c r="B65" s="117" t="str">
        <f t="shared" si="5"/>
        <v/>
      </c>
      <c r="C65" s="6"/>
      <c r="D65" s="58">
        <f>IF(DateCommence&gt;0,IF(COUNTIF($D$18:D64,"&gt;0")&lt;$B$15,EOMONTH(D64,1),0),0)</f>
        <v>0</v>
      </c>
      <c r="E65" s="59">
        <f t="shared" si="15"/>
        <v>0</v>
      </c>
      <c r="F65" s="60">
        <f t="shared" si="16"/>
        <v>0</v>
      </c>
      <c r="G65" s="60">
        <f>IF(COUNTIF($G$18:G64,"&gt;0")&lt;$K$7,$K$6,0)+IF(AND($K$8&gt;0,D65=$B$13),$K$8,0)</f>
        <v>0</v>
      </c>
      <c r="H65" s="61">
        <f t="shared" si="11"/>
        <v>0</v>
      </c>
      <c r="I65" s="45">
        <f t="shared" si="17"/>
        <v>0</v>
      </c>
      <c r="J65" s="60">
        <f t="shared" si="12"/>
        <v>0</v>
      </c>
      <c r="K65" s="61">
        <f t="shared" si="13"/>
        <v>0</v>
      </c>
      <c r="L65" s="59">
        <f t="shared" si="14"/>
        <v>0</v>
      </c>
      <c r="M65" s="61">
        <f>IF(I65&gt;0,SUM(F78:$F$107),0)</f>
        <v>0</v>
      </c>
      <c r="N65" s="59">
        <f>IF(AND($K$9&gt;BorrowingWriteOff,COUNTIF($N$18:N64,"&gt;0")&lt;MIN(BorrowingMaxPeriod,$K$7)),$K$9/MIN(BorrowingMaxPeriod,$K$7),0)</f>
        <v>0</v>
      </c>
      <c r="O65" s="112">
        <f>IF(G65&gt;0,$K$9-SUM($N$18:N65),0)</f>
        <v>0</v>
      </c>
      <c r="P65" s="124"/>
      <c r="Q65" s="124"/>
      <c r="R65" s="124"/>
      <c r="S65" s="124"/>
      <c r="T65" s="124"/>
      <c r="U65" s="124"/>
      <c r="V65" s="124"/>
      <c r="W65" s="124"/>
    </row>
    <row r="66" spans="1:23" ht="15" customHeight="1" x14ac:dyDescent="0.2">
      <c r="A66" s="116" t="str">
        <f t="shared" si="10"/>
        <v>blank</v>
      </c>
      <c r="B66" s="117" t="str">
        <f t="shared" si="5"/>
        <v/>
      </c>
      <c r="C66" s="6"/>
      <c r="D66" s="47">
        <f>IF(DateCommence&gt;0,IF(COUNTIF($D$18:D65,"&gt;0")&lt;$B$15,EOMONTH(D65,1),0),0)</f>
        <v>0</v>
      </c>
      <c r="E66" s="48">
        <f t="shared" si="15"/>
        <v>0</v>
      </c>
      <c r="F66" s="50">
        <f t="shared" si="16"/>
        <v>0</v>
      </c>
      <c r="G66" s="50">
        <f>IF(COUNTIF($G$18:G65,"&gt;0")&lt;$K$7,$K$6,0)+IF(AND($K$8&gt;0,D66=$B$13),$K$8,0)</f>
        <v>0</v>
      </c>
      <c r="H66" s="51">
        <f t="shared" si="11"/>
        <v>0</v>
      </c>
      <c r="I66" s="57">
        <f t="shared" si="17"/>
        <v>0</v>
      </c>
      <c r="J66" s="50">
        <f t="shared" si="12"/>
        <v>0</v>
      </c>
      <c r="K66" s="51">
        <f t="shared" si="13"/>
        <v>0</v>
      </c>
      <c r="L66" s="48">
        <f t="shared" si="14"/>
        <v>0</v>
      </c>
      <c r="M66" s="51">
        <f>IF(I66&gt;0,SUM(F79:$F$107),0)</f>
        <v>0</v>
      </c>
      <c r="N66" s="48">
        <f>IF(AND($K$9&gt;BorrowingWriteOff,COUNTIF($N$18:N65,"&gt;0")&lt;MIN(BorrowingMaxPeriod,$K$7)),$K$9/MIN(BorrowingMaxPeriod,$K$7),0)</f>
        <v>0</v>
      </c>
      <c r="O66" s="110">
        <f>IF(G66&gt;0,$K$9-SUM($N$18:N66),0)</f>
        <v>0</v>
      </c>
      <c r="P66" s="124"/>
      <c r="Q66" s="124"/>
      <c r="R66" s="124"/>
      <c r="S66" s="124"/>
      <c r="T66" s="124"/>
      <c r="U66" s="124"/>
      <c r="V66" s="124"/>
      <c r="W66" s="124"/>
    </row>
    <row r="67" spans="1:23" ht="15" customHeight="1" x14ac:dyDescent="0.2">
      <c r="A67" s="116" t="str">
        <f t="shared" si="10"/>
        <v>blank</v>
      </c>
      <c r="B67" s="117" t="str">
        <f t="shared" si="5"/>
        <v/>
      </c>
      <c r="C67" s="6"/>
      <c r="D67" s="38">
        <f>IF(DateCommence&gt;0,IF(COUNTIF($D$18:D66,"&gt;0")&lt;$B$15,EOMONTH(D66,1),0),0)</f>
        <v>0</v>
      </c>
      <c r="E67" s="39">
        <f t="shared" si="15"/>
        <v>0</v>
      </c>
      <c r="F67" s="40">
        <f t="shared" si="16"/>
        <v>0</v>
      </c>
      <c r="G67" s="40">
        <f>IF(COUNTIF($G$18:G66,"&gt;0")&lt;$K$7,$K$6,0)+IF(AND($K$8&gt;0,D67=$B$13),$K$8,0)</f>
        <v>0</v>
      </c>
      <c r="H67" s="41">
        <f t="shared" si="11"/>
        <v>0</v>
      </c>
      <c r="I67" s="44">
        <f t="shared" si="17"/>
        <v>0</v>
      </c>
      <c r="J67" s="40">
        <f t="shared" si="12"/>
        <v>0</v>
      </c>
      <c r="K67" s="41">
        <f t="shared" si="13"/>
        <v>0</v>
      </c>
      <c r="L67" s="39">
        <f t="shared" si="14"/>
        <v>0</v>
      </c>
      <c r="M67" s="41">
        <f>IF(I67&gt;0,SUM(F80:$F$107),0)</f>
        <v>0</v>
      </c>
      <c r="N67" s="39">
        <f>IF(AND($K$9&gt;BorrowingWriteOff,COUNTIF($N$18:N66,"&gt;0")&lt;MIN(BorrowingMaxPeriod,$K$7)),$K$9/MIN(BorrowingMaxPeriod,$K$7),0)</f>
        <v>0</v>
      </c>
      <c r="O67" s="111">
        <f>IF(G67&gt;0,$K$9-SUM($N$18:N67),0)</f>
        <v>0</v>
      </c>
      <c r="P67" s="124"/>
      <c r="Q67" s="124"/>
      <c r="R67" s="124"/>
      <c r="S67" s="124"/>
      <c r="T67" s="124"/>
      <c r="U67" s="124"/>
      <c r="V67" s="124"/>
      <c r="W67" s="124"/>
    </row>
    <row r="68" spans="1:23" ht="15" customHeight="1" x14ac:dyDescent="0.2">
      <c r="A68" s="116" t="str">
        <f t="shared" si="10"/>
        <v>blank</v>
      </c>
      <c r="B68" s="117" t="str">
        <f t="shared" si="5"/>
        <v/>
      </c>
      <c r="C68" s="6"/>
      <c r="D68" s="58">
        <f>IF(DateCommence&gt;0,IF(COUNTIF($D$18:D67,"&gt;0")&lt;$B$15,EOMONTH(D67,1),0),0)</f>
        <v>0</v>
      </c>
      <c r="E68" s="59">
        <f t="shared" si="15"/>
        <v>0</v>
      </c>
      <c r="F68" s="60">
        <f t="shared" si="16"/>
        <v>0</v>
      </c>
      <c r="G68" s="60">
        <f>IF(COUNTIF($G$18:G67,"&gt;0")&lt;$K$7,$K$6,0)+IF(AND($K$8&gt;0,D68=$B$13),$K$8,0)</f>
        <v>0</v>
      </c>
      <c r="H68" s="61">
        <f t="shared" si="11"/>
        <v>0</v>
      </c>
      <c r="I68" s="45">
        <f t="shared" si="17"/>
        <v>0</v>
      </c>
      <c r="J68" s="60">
        <f t="shared" si="12"/>
        <v>0</v>
      </c>
      <c r="K68" s="61">
        <f t="shared" si="13"/>
        <v>0</v>
      </c>
      <c r="L68" s="59">
        <f t="shared" si="14"/>
        <v>0</v>
      </c>
      <c r="M68" s="61">
        <f>IF(I68&gt;0,SUM(F81:$F$107),0)</f>
        <v>0</v>
      </c>
      <c r="N68" s="59">
        <f>IF(AND($K$9&gt;BorrowingWriteOff,COUNTIF($N$18:N67,"&gt;0")&lt;MIN(BorrowingMaxPeriod,$K$7)),$K$9/MIN(BorrowingMaxPeriod,$K$7),0)</f>
        <v>0</v>
      </c>
      <c r="O68" s="112">
        <f>IF(G68&gt;0,$K$9-SUM($N$18:N68),0)</f>
        <v>0</v>
      </c>
      <c r="P68" s="124"/>
      <c r="Q68" s="124"/>
      <c r="R68" s="124"/>
      <c r="S68" s="124"/>
      <c r="T68" s="124"/>
      <c r="U68" s="124"/>
      <c r="V68" s="124"/>
      <c r="W68" s="124"/>
    </row>
    <row r="69" spans="1:23" ht="15" customHeight="1" x14ac:dyDescent="0.2">
      <c r="A69" s="116" t="str">
        <f t="shared" si="10"/>
        <v>blank</v>
      </c>
      <c r="B69" s="117" t="str">
        <f t="shared" si="5"/>
        <v/>
      </c>
      <c r="C69" s="6"/>
      <c r="D69" s="47">
        <f>IF(DateCommence&gt;0,IF(COUNTIF($D$18:D68,"&gt;0")&lt;$B$15,EOMONTH(D68,1),0),0)</f>
        <v>0</v>
      </c>
      <c r="E69" s="48">
        <f t="shared" si="15"/>
        <v>0</v>
      </c>
      <c r="F69" s="50">
        <f t="shared" si="16"/>
        <v>0</v>
      </c>
      <c r="G69" s="50">
        <f>IF(COUNTIF($G$18:G68,"&gt;0")&lt;$K$7,$K$6,0)+IF(AND($K$8&gt;0,D69=$B$13),$K$8,0)</f>
        <v>0</v>
      </c>
      <c r="H69" s="51">
        <f t="shared" si="11"/>
        <v>0</v>
      </c>
      <c r="I69" s="57">
        <f t="shared" si="17"/>
        <v>0</v>
      </c>
      <c r="J69" s="50">
        <f t="shared" si="12"/>
        <v>0</v>
      </c>
      <c r="K69" s="51">
        <f t="shared" si="13"/>
        <v>0</v>
      </c>
      <c r="L69" s="48">
        <f t="shared" si="14"/>
        <v>0</v>
      </c>
      <c r="M69" s="51">
        <f>IF(I69&gt;0,SUM(F82:$F$107),0)</f>
        <v>0</v>
      </c>
      <c r="N69" s="48">
        <f>IF(AND($K$9&gt;BorrowingWriteOff,COUNTIF($N$18:N68,"&gt;0")&lt;MIN(BorrowingMaxPeriod,$K$7)),$K$9/MIN(BorrowingMaxPeriod,$K$7),0)</f>
        <v>0</v>
      </c>
      <c r="O69" s="110">
        <f>IF(G69&gt;0,$K$9-SUM($N$18:N69),0)</f>
        <v>0</v>
      </c>
      <c r="P69" s="124"/>
      <c r="Q69" s="124"/>
      <c r="R69" s="124"/>
      <c r="S69" s="124"/>
      <c r="T69" s="124"/>
      <c r="U69" s="124"/>
      <c r="V69" s="124"/>
      <c r="W69" s="124"/>
    </row>
    <row r="70" spans="1:23" ht="15" customHeight="1" x14ac:dyDescent="0.2">
      <c r="A70" s="116" t="str">
        <f t="shared" si="10"/>
        <v>blank</v>
      </c>
      <c r="B70" s="117" t="str">
        <f t="shared" si="5"/>
        <v/>
      </c>
      <c r="C70" s="6"/>
      <c r="D70" s="38">
        <f>IF(DateCommence&gt;0,IF(COUNTIF($D$18:D69,"&gt;0")&lt;$B$15,EOMONTH(D69,1),0),0)</f>
        <v>0</v>
      </c>
      <c r="E70" s="39">
        <f t="shared" si="15"/>
        <v>0</v>
      </c>
      <c r="F70" s="40">
        <f t="shared" si="16"/>
        <v>0</v>
      </c>
      <c r="G70" s="40">
        <f>IF(COUNTIF($G$18:G69,"&gt;0")&lt;$K$7,$K$6,0)+IF(AND($K$8&gt;0,D70=$B$13),$K$8,0)</f>
        <v>0</v>
      </c>
      <c r="H70" s="41">
        <f t="shared" si="11"/>
        <v>0</v>
      </c>
      <c r="I70" s="44">
        <f t="shared" si="17"/>
        <v>0</v>
      </c>
      <c r="J70" s="40">
        <f t="shared" si="12"/>
        <v>0</v>
      </c>
      <c r="K70" s="41">
        <f t="shared" si="13"/>
        <v>0</v>
      </c>
      <c r="L70" s="39">
        <f t="shared" si="14"/>
        <v>0</v>
      </c>
      <c r="M70" s="41">
        <f>IF(I70&gt;0,SUM(F83:$F$107),0)</f>
        <v>0</v>
      </c>
      <c r="N70" s="39">
        <f>IF(AND($K$9&gt;BorrowingWriteOff,COUNTIF($N$18:N69,"&gt;0")&lt;MIN(BorrowingMaxPeriod,$K$7)),$K$9/MIN(BorrowingMaxPeriod,$K$7),0)</f>
        <v>0</v>
      </c>
      <c r="O70" s="111">
        <f>IF(G70&gt;0,$K$9-SUM($N$18:N70),0)</f>
        <v>0</v>
      </c>
      <c r="P70" s="124"/>
      <c r="Q70" s="124"/>
      <c r="R70" s="124"/>
      <c r="S70" s="124"/>
      <c r="T70" s="124"/>
      <c r="U70" s="124"/>
      <c r="V70" s="124"/>
      <c r="W70" s="124"/>
    </row>
    <row r="71" spans="1:23" ht="15" customHeight="1" x14ac:dyDescent="0.2">
      <c r="A71" s="116" t="str">
        <f t="shared" si="10"/>
        <v>blank</v>
      </c>
      <c r="B71" s="117" t="str">
        <f t="shared" si="5"/>
        <v/>
      </c>
      <c r="C71" s="6"/>
      <c r="D71" s="58">
        <f>IF(DateCommence&gt;0,IF(COUNTIF($D$18:D70,"&gt;0")&lt;$B$15,EOMONTH(D70,1),0),0)</f>
        <v>0</v>
      </c>
      <c r="E71" s="59">
        <f t="shared" si="15"/>
        <v>0</v>
      </c>
      <c r="F71" s="60">
        <f t="shared" si="16"/>
        <v>0</v>
      </c>
      <c r="G71" s="60">
        <f>IF(COUNTIF($G$18:G70,"&gt;0")&lt;$K$7,$K$6,0)+IF(AND($K$8&gt;0,D71=$B$13),$K$8,0)</f>
        <v>0</v>
      </c>
      <c r="H71" s="61">
        <f t="shared" si="11"/>
        <v>0</v>
      </c>
      <c r="I71" s="45">
        <f t="shared" si="17"/>
        <v>0</v>
      </c>
      <c r="J71" s="60">
        <f t="shared" si="12"/>
        <v>0</v>
      </c>
      <c r="K71" s="61">
        <f t="shared" si="13"/>
        <v>0</v>
      </c>
      <c r="L71" s="59">
        <f t="shared" si="14"/>
        <v>0</v>
      </c>
      <c r="M71" s="61">
        <f>IF(I71&gt;0,SUM(F84:$F$107),0)</f>
        <v>0</v>
      </c>
      <c r="N71" s="59">
        <f>IF(AND($K$9&gt;BorrowingWriteOff,COUNTIF($N$18:N70,"&gt;0")&lt;MIN(BorrowingMaxPeriod,$K$7)),$K$9/MIN(BorrowingMaxPeriod,$K$7),0)</f>
        <v>0</v>
      </c>
      <c r="O71" s="112">
        <f>IF(G71&gt;0,$K$9-SUM($N$18:N71),0)</f>
        <v>0</v>
      </c>
      <c r="P71" s="124"/>
      <c r="Q71" s="124"/>
      <c r="R71" s="124"/>
      <c r="S71" s="124"/>
      <c r="T71" s="124"/>
      <c r="U71" s="124"/>
      <c r="V71" s="124"/>
      <c r="W71" s="124"/>
    </row>
    <row r="72" spans="1:23" ht="15" customHeight="1" x14ac:dyDescent="0.2">
      <c r="A72" s="116" t="str">
        <f t="shared" si="10"/>
        <v>blank</v>
      </c>
      <c r="B72" s="117" t="str">
        <f t="shared" si="5"/>
        <v/>
      </c>
      <c r="C72" s="6"/>
      <c r="D72" s="47">
        <f>IF(DateCommence&gt;0,IF(COUNTIF($D$18:D71,"&gt;0")&lt;$B$15,EOMONTH(D71,1),0),0)</f>
        <v>0</v>
      </c>
      <c r="E72" s="48">
        <f t="shared" si="15"/>
        <v>0</v>
      </c>
      <c r="F72" s="50">
        <f t="shared" si="16"/>
        <v>0</v>
      </c>
      <c r="G72" s="50">
        <f>IF(COUNTIF($G$18:G71,"&gt;0")&lt;$K$7,$K$6,0)+IF(AND($K$8&gt;0,D72=$B$13),$K$8,0)</f>
        <v>0</v>
      </c>
      <c r="H72" s="51">
        <f t="shared" si="11"/>
        <v>0</v>
      </c>
      <c r="I72" s="57">
        <f t="shared" si="17"/>
        <v>0</v>
      </c>
      <c r="J72" s="50">
        <f t="shared" si="12"/>
        <v>0</v>
      </c>
      <c r="K72" s="51">
        <f t="shared" si="13"/>
        <v>0</v>
      </c>
      <c r="L72" s="48">
        <f t="shared" si="14"/>
        <v>0</v>
      </c>
      <c r="M72" s="51">
        <f>IF(I72&gt;0,SUM(F85:$F$107),0)</f>
        <v>0</v>
      </c>
      <c r="N72" s="48">
        <f>IF(AND($K$9&gt;BorrowingWriteOff,COUNTIF($N$18:N71,"&gt;0")&lt;MIN(BorrowingMaxPeriod,$K$7)),$K$9/MIN(BorrowingMaxPeriod,$K$7),0)</f>
        <v>0</v>
      </c>
      <c r="O72" s="110">
        <f>IF(G72&gt;0,$K$9-SUM($N$18:N72),0)</f>
        <v>0</v>
      </c>
      <c r="P72" s="124"/>
      <c r="Q72" s="124"/>
      <c r="R72" s="124"/>
      <c r="S72" s="124"/>
      <c r="T72" s="124"/>
      <c r="U72" s="124"/>
      <c r="V72" s="124"/>
      <c r="W72" s="124"/>
    </row>
    <row r="73" spans="1:23" ht="15" customHeight="1" x14ac:dyDescent="0.2">
      <c r="A73" s="116" t="str">
        <f t="shared" si="10"/>
        <v>blank</v>
      </c>
      <c r="B73" s="117" t="str">
        <f t="shared" si="5"/>
        <v/>
      </c>
      <c r="C73" s="6"/>
      <c r="D73" s="38">
        <f>IF(DateCommence&gt;0,IF(COUNTIF($D$18:D72,"&gt;0")&lt;$B$15,EOMONTH(D72,1),0),0)</f>
        <v>0</v>
      </c>
      <c r="E73" s="39">
        <f t="shared" si="15"/>
        <v>0</v>
      </c>
      <c r="F73" s="40">
        <f t="shared" si="16"/>
        <v>0</v>
      </c>
      <c r="G73" s="40">
        <f>IF(COUNTIF($G$18:G72,"&gt;0")&lt;$K$7,$K$6,0)+IF(AND($K$8&gt;0,D73=$B$13),$K$8,0)</f>
        <v>0</v>
      </c>
      <c r="H73" s="41">
        <f t="shared" si="11"/>
        <v>0</v>
      </c>
      <c r="I73" s="44">
        <f t="shared" si="17"/>
        <v>0</v>
      </c>
      <c r="J73" s="40">
        <f t="shared" si="12"/>
        <v>0</v>
      </c>
      <c r="K73" s="41">
        <f t="shared" si="13"/>
        <v>0</v>
      </c>
      <c r="L73" s="39">
        <f t="shared" si="14"/>
        <v>0</v>
      </c>
      <c r="M73" s="41">
        <f>IF(I73&gt;0,SUM(F86:$F$107),0)</f>
        <v>0</v>
      </c>
      <c r="N73" s="39">
        <f>IF(AND($K$9&gt;BorrowingWriteOff,COUNTIF($N$18:N72,"&gt;0")&lt;MIN(BorrowingMaxPeriod,$K$7)),$K$9/MIN(BorrowingMaxPeriod,$K$7),0)</f>
        <v>0</v>
      </c>
      <c r="O73" s="111">
        <f>IF(G73&gt;0,$K$9-SUM($N$18:N73),0)</f>
        <v>0</v>
      </c>
      <c r="P73" s="124"/>
      <c r="Q73" s="124"/>
      <c r="R73" s="124"/>
      <c r="S73" s="124"/>
      <c r="T73" s="124"/>
      <c r="U73" s="124"/>
      <c r="V73" s="124"/>
      <c r="W73" s="124"/>
    </row>
    <row r="74" spans="1:23" ht="15" customHeight="1" x14ac:dyDescent="0.2">
      <c r="A74" s="116" t="str">
        <f t="shared" si="10"/>
        <v>blank</v>
      </c>
      <c r="B74" s="117" t="str">
        <f t="shared" si="5"/>
        <v/>
      </c>
      <c r="C74" s="6"/>
      <c r="D74" s="58">
        <f>IF(DateCommence&gt;0,IF(COUNTIF($D$18:D73,"&gt;0")&lt;$B$15,EOMONTH(D73,1),0),0)</f>
        <v>0</v>
      </c>
      <c r="E74" s="59">
        <f t="shared" si="15"/>
        <v>0</v>
      </c>
      <c r="F74" s="60">
        <f t="shared" si="16"/>
        <v>0</v>
      </c>
      <c r="G74" s="60">
        <f>IF(COUNTIF($G$18:G73,"&gt;0")&lt;$K$7,$K$6,0)+IF(AND($K$8&gt;0,D74=$B$13),$K$8,0)</f>
        <v>0</v>
      </c>
      <c r="H74" s="61">
        <f t="shared" si="11"/>
        <v>0</v>
      </c>
      <c r="I74" s="45">
        <f t="shared" si="17"/>
        <v>0</v>
      </c>
      <c r="J74" s="60">
        <f t="shared" si="12"/>
        <v>0</v>
      </c>
      <c r="K74" s="61">
        <f t="shared" si="13"/>
        <v>0</v>
      </c>
      <c r="L74" s="59">
        <f t="shared" si="14"/>
        <v>0</v>
      </c>
      <c r="M74" s="61">
        <f>IF(I74&gt;0,SUM(F87:$F$107),0)</f>
        <v>0</v>
      </c>
      <c r="N74" s="59">
        <f>IF(AND($K$9&gt;BorrowingWriteOff,COUNTIF($N$18:N73,"&gt;0")&lt;MIN(BorrowingMaxPeriod,$K$7)),$K$9/MIN(BorrowingMaxPeriod,$K$7),0)</f>
        <v>0</v>
      </c>
      <c r="O74" s="112">
        <f>IF(G74&gt;0,$K$9-SUM($N$18:N74),0)</f>
        <v>0</v>
      </c>
      <c r="P74" s="124"/>
      <c r="Q74" s="124"/>
      <c r="R74" s="124"/>
      <c r="S74" s="124"/>
      <c r="T74" s="124"/>
      <c r="U74" s="124"/>
      <c r="V74" s="124"/>
      <c r="W74" s="124"/>
    </row>
    <row r="75" spans="1:23" ht="15" customHeight="1" x14ac:dyDescent="0.2">
      <c r="A75" s="116" t="str">
        <f t="shared" si="10"/>
        <v>blank</v>
      </c>
      <c r="B75" s="117" t="str">
        <f t="shared" si="5"/>
        <v/>
      </c>
      <c r="C75" s="6"/>
      <c r="D75" s="47">
        <f>IF(DateCommence&gt;0,IF(COUNTIF($D$18:D74,"&gt;0")&lt;$B$15,EOMONTH(D74,1),0),0)</f>
        <v>0</v>
      </c>
      <c r="E75" s="48">
        <f t="shared" si="15"/>
        <v>0</v>
      </c>
      <c r="F75" s="50">
        <f t="shared" si="16"/>
        <v>0</v>
      </c>
      <c r="G75" s="50">
        <f>IF(COUNTIF($G$18:G74,"&gt;0")&lt;$K$7,$K$6,0)+IF(AND($K$8&gt;0,D75=$B$13),$K$8,0)</f>
        <v>0</v>
      </c>
      <c r="H75" s="51">
        <f t="shared" si="11"/>
        <v>0</v>
      </c>
      <c r="I75" s="57">
        <f t="shared" si="17"/>
        <v>0</v>
      </c>
      <c r="J75" s="50">
        <f t="shared" si="12"/>
        <v>0</v>
      </c>
      <c r="K75" s="51">
        <f t="shared" si="13"/>
        <v>0</v>
      </c>
      <c r="L75" s="48">
        <f t="shared" si="14"/>
        <v>0</v>
      </c>
      <c r="M75" s="51">
        <f>IF(I75&gt;0,SUM(F88:$F$107),0)</f>
        <v>0</v>
      </c>
      <c r="N75" s="48">
        <f>IF(AND($K$9&gt;BorrowingWriteOff,COUNTIF($N$18:N74,"&gt;0")&lt;MIN(BorrowingMaxPeriod,$K$7)),$K$9/MIN(BorrowingMaxPeriod,$K$7),0)</f>
        <v>0</v>
      </c>
      <c r="O75" s="110">
        <f>IF(G75&gt;0,$K$9-SUM($N$18:N75),0)</f>
        <v>0</v>
      </c>
      <c r="P75" s="124"/>
      <c r="Q75" s="124"/>
      <c r="R75" s="124"/>
      <c r="S75" s="124"/>
      <c r="T75" s="124"/>
      <c r="U75" s="124"/>
      <c r="V75" s="124"/>
      <c r="W75" s="124"/>
    </row>
    <row r="76" spans="1:23" ht="15" customHeight="1" x14ac:dyDescent="0.2">
      <c r="A76" s="116" t="str">
        <f t="shared" si="10"/>
        <v>blank</v>
      </c>
      <c r="B76" s="117" t="str">
        <f t="shared" si="5"/>
        <v/>
      </c>
      <c r="C76" s="6"/>
      <c r="D76" s="38">
        <f>IF(DateCommence&gt;0,IF(COUNTIF($D$18:D75,"&gt;0")&lt;$B$15,EOMONTH(D75,1),0),0)</f>
        <v>0</v>
      </c>
      <c r="E76" s="39">
        <f t="shared" si="15"/>
        <v>0</v>
      </c>
      <c r="F76" s="40">
        <f t="shared" si="16"/>
        <v>0</v>
      </c>
      <c r="G76" s="40">
        <f>IF(COUNTIF($G$18:G75,"&gt;0")&lt;$K$7,$K$6,0)+IF(AND($K$8&gt;0,D76=$B$13),$K$8,0)</f>
        <v>0</v>
      </c>
      <c r="H76" s="41">
        <f t="shared" si="11"/>
        <v>0</v>
      </c>
      <c r="I76" s="44">
        <f t="shared" si="17"/>
        <v>0</v>
      </c>
      <c r="J76" s="40">
        <f t="shared" si="12"/>
        <v>0</v>
      </c>
      <c r="K76" s="41">
        <f t="shared" si="13"/>
        <v>0</v>
      </c>
      <c r="L76" s="39">
        <f t="shared" si="14"/>
        <v>0</v>
      </c>
      <c r="M76" s="41">
        <f>IF(I76&gt;0,SUM(F89:$F$107),0)</f>
        <v>0</v>
      </c>
      <c r="N76" s="39">
        <f>IF(AND($K$9&gt;BorrowingWriteOff,COUNTIF($N$18:N75,"&gt;0")&lt;MIN(BorrowingMaxPeriod,$K$7)),$K$9/MIN(BorrowingMaxPeriod,$K$7),0)</f>
        <v>0</v>
      </c>
      <c r="O76" s="111">
        <f>IF(G76&gt;0,$K$9-SUM($N$18:N76),0)</f>
        <v>0</v>
      </c>
      <c r="P76" s="124"/>
      <c r="Q76" s="124"/>
      <c r="R76" s="124"/>
      <c r="S76" s="124"/>
      <c r="T76" s="124"/>
      <c r="U76" s="124"/>
      <c r="V76" s="124"/>
      <c r="W76" s="124"/>
    </row>
    <row r="77" spans="1:23" ht="15" customHeight="1" x14ac:dyDescent="0.2">
      <c r="A77" s="116" t="str">
        <f t="shared" si="10"/>
        <v>blank</v>
      </c>
      <c r="B77" s="117" t="str">
        <f t="shared" si="5"/>
        <v/>
      </c>
      <c r="C77" s="6"/>
      <c r="D77" s="58">
        <f>IF(DateCommence&gt;0,IF(COUNTIF($D$18:D76,"&gt;0")&lt;$B$15,EOMONTH(D76,1),0),0)</f>
        <v>0</v>
      </c>
      <c r="E77" s="59">
        <f t="shared" si="15"/>
        <v>0</v>
      </c>
      <c r="F77" s="60">
        <f t="shared" si="16"/>
        <v>0</v>
      </c>
      <c r="G77" s="60">
        <f>IF(COUNTIF($G$18:G76,"&gt;0")&lt;$K$7,$K$6,0)+IF(AND($K$8&gt;0,D77=$B$13),$K$8,0)</f>
        <v>0</v>
      </c>
      <c r="H77" s="61">
        <f t="shared" si="11"/>
        <v>0</v>
      </c>
      <c r="I77" s="45">
        <f t="shared" si="17"/>
        <v>0</v>
      </c>
      <c r="J77" s="60">
        <f t="shared" si="12"/>
        <v>0</v>
      </c>
      <c r="K77" s="61">
        <f t="shared" si="13"/>
        <v>0</v>
      </c>
      <c r="L77" s="59">
        <f t="shared" si="14"/>
        <v>0</v>
      </c>
      <c r="M77" s="61">
        <f>IF(I77&gt;0,SUM(F90:$F$107),0)</f>
        <v>0</v>
      </c>
      <c r="N77" s="59">
        <f>IF(AND($K$9&gt;BorrowingWriteOff,COUNTIF($N$18:N76,"&gt;0")&lt;MIN(BorrowingMaxPeriod,$K$7)),$K$9/MIN(BorrowingMaxPeriod,$K$7),0)</f>
        <v>0</v>
      </c>
      <c r="O77" s="112">
        <f>IF(G77&gt;0,$K$9-SUM($N$18:N77),0)</f>
        <v>0</v>
      </c>
      <c r="P77" s="124"/>
      <c r="Q77" s="124"/>
      <c r="R77" s="124"/>
      <c r="S77" s="124"/>
      <c r="T77" s="124"/>
      <c r="U77" s="124"/>
      <c r="V77" s="124"/>
      <c r="W77" s="124"/>
    </row>
    <row r="78" spans="1:23" ht="15" customHeight="1" x14ac:dyDescent="0.2">
      <c r="A78" s="116" t="str">
        <f t="shared" si="10"/>
        <v>blank</v>
      </c>
      <c r="B78" s="117" t="str">
        <f t="shared" si="5"/>
        <v/>
      </c>
      <c r="C78" s="6"/>
      <c r="D78" s="47">
        <f>IF(DateCommence&gt;0,IF(COUNTIF($D$18:D77,"&gt;0")&lt;$B$15,EOMONTH(D77,1),0),0)</f>
        <v>0</v>
      </c>
      <c r="E78" s="48">
        <f t="shared" si="15"/>
        <v>0</v>
      </c>
      <c r="F78" s="50">
        <f t="shared" si="16"/>
        <v>0</v>
      </c>
      <c r="G78" s="50">
        <f>IF(COUNTIF($G$18:G77,"&gt;0")&lt;$K$7,$K$6,0)+IF(AND($K$8&gt;0,D78=$B$13),$K$8,0)</f>
        <v>0</v>
      </c>
      <c r="H78" s="51">
        <f t="shared" si="11"/>
        <v>0</v>
      </c>
      <c r="I78" s="57">
        <f t="shared" si="17"/>
        <v>0</v>
      </c>
      <c r="J78" s="50">
        <f t="shared" si="12"/>
        <v>0</v>
      </c>
      <c r="K78" s="51">
        <f t="shared" si="13"/>
        <v>0</v>
      </c>
      <c r="L78" s="48">
        <f t="shared" si="14"/>
        <v>0</v>
      </c>
      <c r="M78" s="51">
        <f>IF(I78&gt;0,SUM(F91:$F$107),0)</f>
        <v>0</v>
      </c>
      <c r="N78" s="48">
        <f>IF(AND($K$9&gt;BorrowingWriteOff,COUNTIF($N$18:N77,"&gt;0")&lt;MIN(BorrowingMaxPeriod,$K$7)),$K$9/MIN(BorrowingMaxPeriod,$K$7),0)</f>
        <v>0</v>
      </c>
      <c r="O78" s="110">
        <f>IF(G78&gt;0,$K$9-SUM($N$18:N78),0)</f>
        <v>0</v>
      </c>
      <c r="P78" s="124"/>
      <c r="Q78" s="124"/>
      <c r="R78" s="124"/>
      <c r="S78" s="124"/>
      <c r="T78" s="124"/>
      <c r="U78" s="124"/>
      <c r="V78" s="124"/>
      <c r="W78" s="124"/>
    </row>
    <row r="79" spans="1:23" ht="15" customHeight="1" x14ac:dyDescent="0.2">
      <c r="A79" s="116" t="str">
        <f t="shared" si="10"/>
        <v>blank</v>
      </c>
      <c r="B79" s="117" t="str">
        <f t="shared" si="5"/>
        <v/>
      </c>
      <c r="C79" s="6"/>
      <c r="D79" s="38">
        <f>IF(DateCommence&gt;0,IF(COUNTIF($D$18:D78,"&gt;0")&lt;$B$15,EOMONTH(D78,1),0),0)</f>
        <v>0</v>
      </c>
      <c r="E79" s="39">
        <f t="shared" si="15"/>
        <v>0</v>
      </c>
      <c r="F79" s="40">
        <f t="shared" si="16"/>
        <v>0</v>
      </c>
      <c r="G79" s="40">
        <f>IF(COUNTIF($G$18:G78,"&gt;0")&lt;$K$7,$K$6,0)+IF(AND($K$8&gt;0,D79=$B$13),$K$8,0)</f>
        <v>0</v>
      </c>
      <c r="H79" s="41">
        <f t="shared" si="11"/>
        <v>0</v>
      </c>
      <c r="I79" s="44">
        <f t="shared" si="17"/>
        <v>0</v>
      </c>
      <c r="J79" s="40">
        <f t="shared" si="12"/>
        <v>0</v>
      </c>
      <c r="K79" s="41">
        <f t="shared" si="13"/>
        <v>0</v>
      </c>
      <c r="L79" s="39">
        <f t="shared" si="14"/>
        <v>0</v>
      </c>
      <c r="M79" s="41">
        <f>IF(I79&gt;0,SUM(F92:$F$107),0)</f>
        <v>0</v>
      </c>
      <c r="N79" s="39">
        <f>IF(AND($K$9&gt;BorrowingWriteOff,COUNTIF($N$18:N78,"&gt;0")&lt;MIN(BorrowingMaxPeriod,$K$7)),$K$9/MIN(BorrowingMaxPeriod,$K$7),0)</f>
        <v>0</v>
      </c>
      <c r="O79" s="111">
        <f>IF(G79&gt;0,$K$9-SUM($N$18:N79),0)</f>
        <v>0</v>
      </c>
      <c r="P79" s="124"/>
      <c r="Q79" s="124"/>
      <c r="R79" s="124"/>
      <c r="S79" s="124"/>
      <c r="T79" s="124"/>
      <c r="U79" s="124"/>
      <c r="V79" s="124"/>
      <c r="W79" s="124"/>
    </row>
    <row r="80" spans="1:23" ht="15" customHeight="1" x14ac:dyDescent="0.2">
      <c r="A80" s="116" t="str">
        <f t="shared" si="10"/>
        <v>blank</v>
      </c>
      <c r="B80" s="117" t="str">
        <f t="shared" si="5"/>
        <v/>
      </c>
      <c r="C80" s="6"/>
      <c r="D80" s="58">
        <f>IF(DateCommence&gt;0,IF(COUNTIF($D$18:D79,"&gt;0")&lt;$B$15,EOMONTH(D79,1),0),0)</f>
        <v>0</v>
      </c>
      <c r="E80" s="59">
        <f t="shared" si="15"/>
        <v>0</v>
      </c>
      <c r="F80" s="60">
        <f t="shared" si="16"/>
        <v>0</v>
      </c>
      <c r="G80" s="60">
        <f>IF(COUNTIF($G$18:G79,"&gt;0")&lt;$K$7,$K$6,0)+IF(AND($K$8&gt;0,D80=$B$13),$K$8,0)</f>
        <v>0</v>
      </c>
      <c r="H80" s="61">
        <f t="shared" si="11"/>
        <v>0</v>
      </c>
      <c r="I80" s="45">
        <f t="shared" si="17"/>
        <v>0</v>
      </c>
      <c r="J80" s="60">
        <f t="shared" si="12"/>
        <v>0</v>
      </c>
      <c r="K80" s="61">
        <f t="shared" si="13"/>
        <v>0</v>
      </c>
      <c r="L80" s="59">
        <f t="shared" si="14"/>
        <v>0</v>
      </c>
      <c r="M80" s="61">
        <f>IF(I80&gt;0,SUM(F93:$F$107),0)</f>
        <v>0</v>
      </c>
      <c r="N80" s="59">
        <f>IF(AND($K$9&gt;BorrowingWriteOff,COUNTIF($N$18:N79,"&gt;0")&lt;MIN(BorrowingMaxPeriod,$K$7)),$K$9/MIN(BorrowingMaxPeriod,$K$7),0)</f>
        <v>0</v>
      </c>
      <c r="O80" s="112">
        <f>IF(G80&gt;0,$K$9-SUM($N$18:N80),0)</f>
        <v>0</v>
      </c>
      <c r="P80" s="124"/>
      <c r="Q80" s="124"/>
      <c r="R80" s="124"/>
      <c r="S80" s="124"/>
      <c r="T80" s="124"/>
      <c r="U80" s="124"/>
      <c r="V80" s="124"/>
      <c r="W80" s="124"/>
    </row>
    <row r="81" spans="1:23" ht="15" customHeight="1" x14ac:dyDescent="0.2">
      <c r="A81" s="116" t="str">
        <f t="shared" si="10"/>
        <v>blank</v>
      </c>
      <c r="B81" s="117" t="str">
        <f t="shared" si="5"/>
        <v/>
      </c>
      <c r="C81" s="6"/>
      <c r="D81" s="47">
        <f>IF(DateCommence&gt;0,IF(COUNTIF($D$18:D80,"&gt;0")&lt;$B$15,EOMONTH(D80,1),0),0)</f>
        <v>0</v>
      </c>
      <c r="E81" s="48">
        <f t="shared" si="15"/>
        <v>0</v>
      </c>
      <c r="F81" s="50">
        <f t="shared" si="16"/>
        <v>0</v>
      </c>
      <c r="G81" s="50">
        <f>IF(COUNTIF($G$18:G80,"&gt;0")&lt;$K$7,$K$6,0)+IF(AND($K$8&gt;0,D81=$B$13),$K$8,0)</f>
        <v>0</v>
      </c>
      <c r="H81" s="51">
        <f t="shared" si="11"/>
        <v>0</v>
      </c>
      <c r="I81" s="57">
        <f t="shared" si="17"/>
        <v>0</v>
      </c>
      <c r="J81" s="50">
        <f t="shared" si="12"/>
        <v>0</v>
      </c>
      <c r="K81" s="51">
        <f t="shared" si="13"/>
        <v>0</v>
      </c>
      <c r="L81" s="48">
        <f t="shared" si="14"/>
        <v>0</v>
      </c>
      <c r="M81" s="51">
        <f>IF(I81&gt;0,SUM(F94:$F$107),0)</f>
        <v>0</v>
      </c>
      <c r="N81" s="48">
        <f>IF(AND($K$9&gt;BorrowingWriteOff,COUNTIF($N$18:N80,"&gt;0")&lt;MIN(BorrowingMaxPeriod,$K$7)),$K$9/MIN(BorrowingMaxPeriod,$K$7),0)</f>
        <v>0</v>
      </c>
      <c r="O81" s="110">
        <f>IF(G81&gt;0,$K$9-SUM($N$18:N81),0)</f>
        <v>0</v>
      </c>
      <c r="P81" s="124"/>
      <c r="Q81" s="124"/>
      <c r="R81" s="124"/>
      <c r="S81" s="124"/>
      <c r="T81" s="124"/>
      <c r="U81" s="124"/>
      <c r="V81" s="124"/>
      <c r="W81" s="124"/>
    </row>
    <row r="82" spans="1:23" ht="15" customHeight="1" x14ac:dyDescent="0.2">
      <c r="A82" s="116" t="str">
        <f t="shared" si="10"/>
        <v>blank</v>
      </c>
      <c r="B82" s="117" t="str">
        <f t="shared" si="5"/>
        <v/>
      </c>
      <c r="C82" s="6"/>
      <c r="D82" s="38">
        <f>IF(DateCommence&gt;0,IF(COUNTIF($D$18:D81,"&gt;0")&lt;$B$15,EOMONTH(D81,1),0),0)</f>
        <v>0</v>
      </c>
      <c r="E82" s="39">
        <f t="shared" si="15"/>
        <v>0</v>
      </c>
      <c r="F82" s="40">
        <f t="shared" si="16"/>
        <v>0</v>
      </c>
      <c r="G82" s="40">
        <f>IF(COUNTIF($G$18:G81,"&gt;0")&lt;$K$7,$K$6,0)+IF(AND($K$8&gt;0,D82=$B$13),$K$8,0)</f>
        <v>0</v>
      </c>
      <c r="H82" s="41">
        <f t="shared" ref="H82:H107" si="18">IF(D82&gt;0,ROUND(E82+F82-G82,8),0)</f>
        <v>0</v>
      </c>
      <c r="I82" s="44">
        <f t="shared" si="17"/>
        <v>0</v>
      </c>
      <c r="J82" s="40">
        <f t="shared" ref="J82:J95" si="19">IF(I82&gt;0,SUM(G83:G94),0)</f>
        <v>0</v>
      </c>
      <c r="K82" s="41">
        <f t="shared" ref="K82:K106" si="20">IF(I82&gt;J82,I82-J82,0)</f>
        <v>0</v>
      </c>
      <c r="L82" s="39">
        <f t="shared" si="14"/>
        <v>0</v>
      </c>
      <c r="M82" s="41">
        <f>IF(I82&gt;0,SUM(F95:$F$107),0)</f>
        <v>0</v>
      </c>
      <c r="N82" s="39">
        <f>IF(AND($K$9&gt;BorrowingWriteOff,COUNTIF($N$18:N81,"&gt;0")&lt;MIN(BorrowingMaxPeriod,$K$7)),$K$9/MIN(BorrowingMaxPeriod,$K$7),0)</f>
        <v>0</v>
      </c>
      <c r="O82" s="111">
        <f>IF(G82&gt;0,$K$9-SUM($N$18:N82),0)</f>
        <v>0</v>
      </c>
      <c r="P82" s="124"/>
      <c r="Q82" s="124"/>
      <c r="R82" s="124"/>
      <c r="S82" s="124"/>
      <c r="T82" s="124"/>
      <c r="U82" s="124"/>
      <c r="V82" s="124"/>
      <c r="W82" s="124"/>
    </row>
    <row r="83" spans="1:23" ht="15" customHeight="1" x14ac:dyDescent="0.2">
      <c r="A83" s="116" t="str">
        <f t="shared" si="10"/>
        <v>blank</v>
      </c>
      <c r="B83" s="117" t="str">
        <f t="shared" ref="B83:B107" si="21">IF(D83=0, "", YEAR(D83) + IF(MONTH(D83) &gt;= 7, 1, 0))</f>
        <v/>
      </c>
      <c r="C83" s="6"/>
      <c r="D83" s="58">
        <f>IF(DateCommence&gt;0,IF(COUNTIF($D$18:D82,"&gt;0")&lt;$B$15,EOMONTH(D82,1),0),0)</f>
        <v>0</v>
      </c>
      <c r="E83" s="59">
        <f t="shared" si="15"/>
        <v>0</v>
      </c>
      <c r="F83" s="60">
        <f t="shared" si="16"/>
        <v>0</v>
      </c>
      <c r="G83" s="60">
        <f>IF(COUNTIF($G$18:G82,"&gt;0")&lt;$K$7,$K$6,0)+IF(AND($K$8&gt;0,D83=$B$13),$K$8,0)</f>
        <v>0</v>
      </c>
      <c r="H83" s="61">
        <f t="shared" si="18"/>
        <v>0</v>
      </c>
      <c r="I83" s="45">
        <f t="shared" si="17"/>
        <v>0</v>
      </c>
      <c r="J83" s="60">
        <f t="shared" si="19"/>
        <v>0</v>
      </c>
      <c r="K83" s="61">
        <f t="shared" si="20"/>
        <v>0</v>
      </c>
      <c r="L83" s="59">
        <f t="shared" si="14"/>
        <v>0</v>
      </c>
      <c r="M83" s="61">
        <f>IF(I83&gt;0,SUM(F96:$F$107),0)</f>
        <v>0</v>
      </c>
      <c r="N83" s="59">
        <f>IF(AND($K$9&gt;BorrowingWriteOff,COUNTIF($N$18:N82,"&gt;0")&lt;MIN(BorrowingMaxPeriod,$K$7)),$K$9/MIN(BorrowingMaxPeriod,$K$7),0)</f>
        <v>0</v>
      </c>
      <c r="O83" s="112">
        <f>IF(G83&gt;0,$K$9-SUM($N$18:N83),0)</f>
        <v>0</v>
      </c>
      <c r="P83" s="124"/>
      <c r="Q83" s="124"/>
      <c r="R83" s="124"/>
      <c r="S83" s="124"/>
      <c r="T83" s="124"/>
      <c r="U83" s="124"/>
      <c r="V83" s="124"/>
      <c r="W83" s="124"/>
    </row>
    <row r="84" spans="1:23" ht="15" customHeight="1" x14ac:dyDescent="0.2">
      <c r="A84" s="116" t="str">
        <f t="shared" si="10"/>
        <v>blank</v>
      </c>
      <c r="B84" s="117" t="str">
        <f t="shared" si="21"/>
        <v/>
      </c>
      <c r="C84" s="6"/>
      <c r="D84" s="47">
        <f>IF(DateCommence&gt;0,IF(COUNTIF($D$18:D83,"&gt;0")&lt;$B$15,EOMONTH(D83,1),0),0)</f>
        <v>0</v>
      </c>
      <c r="E84" s="48">
        <f t="shared" si="15"/>
        <v>0</v>
      </c>
      <c r="F84" s="50">
        <f t="shared" si="16"/>
        <v>0</v>
      </c>
      <c r="G84" s="50">
        <f>IF(COUNTIF($G$18:G83,"&gt;0")&lt;$K$7,$K$6,0)+IF(AND($K$8&gt;0,D84=$B$13),$K$8,0)</f>
        <v>0</v>
      </c>
      <c r="H84" s="51">
        <f t="shared" si="18"/>
        <v>0</v>
      </c>
      <c r="I84" s="57">
        <f t="shared" si="17"/>
        <v>0</v>
      </c>
      <c r="J84" s="50">
        <f t="shared" si="19"/>
        <v>0</v>
      </c>
      <c r="K84" s="51">
        <f t="shared" si="20"/>
        <v>0</v>
      </c>
      <c r="L84" s="48">
        <f t="shared" ref="L84:L95" si="22">SUM(F85:F96)</f>
        <v>0</v>
      </c>
      <c r="M84" s="51">
        <f>IF(I84&gt;0,SUM(F97:$F$107),0)</f>
        <v>0</v>
      </c>
      <c r="N84" s="48">
        <f>IF(AND($K$9&gt;BorrowingWriteOff,COUNTIF($N$18:N83,"&gt;0")&lt;MIN(BorrowingMaxPeriod,$K$7)),$K$9/MIN(BorrowingMaxPeriod,$K$7),0)</f>
        <v>0</v>
      </c>
      <c r="O84" s="110">
        <f>IF(G84&gt;0,$K$9-SUM($N$18:N84),0)</f>
        <v>0</v>
      </c>
      <c r="P84" s="124"/>
      <c r="Q84" s="124"/>
      <c r="R84" s="124"/>
      <c r="S84" s="124"/>
      <c r="T84" s="124"/>
      <c r="U84" s="124"/>
      <c r="V84" s="124"/>
      <c r="W84" s="124"/>
    </row>
    <row r="85" spans="1:23" ht="15" customHeight="1" x14ac:dyDescent="0.2">
      <c r="A85" s="116" t="str">
        <f t="shared" si="10"/>
        <v>blank</v>
      </c>
      <c r="B85" s="117" t="str">
        <f t="shared" si="21"/>
        <v/>
      </c>
      <c r="C85" s="6"/>
      <c r="D85" s="38">
        <f>IF(DateCommence&gt;0,IF(COUNTIF($D$18:D84,"&gt;0")&lt;$B$15,EOMONTH(D84,1),0),0)</f>
        <v>0</v>
      </c>
      <c r="E85" s="39">
        <f t="shared" ref="E85:E107" si="23">IF(AND(H84&gt;0,D85&gt;0),H84,0)</f>
        <v>0</v>
      </c>
      <c r="F85" s="40">
        <f t="shared" ref="F85:F107" si="24">IF(AND($K$8&gt;0,OR($E$9="One Month From Commencement",$E$9="Please Select"),D85=$B$13),0,E85*$G$11)</f>
        <v>0</v>
      </c>
      <c r="G85" s="40">
        <f>IF(COUNTIF($G$18:G84,"&gt;0")&lt;$K$7,$K$6,0)+IF(AND($K$8&gt;0,D85=$B$13),$K$8,0)</f>
        <v>0</v>
      </c>
      <c r="H85" s="41">
        <f t="shared" si="18"/>
        <v>0</v>
      </c>
      <c r="I85" s="44">
        <f t="shared" ref="I85:I107" si="25">ROUND(I84-G85,2)</f>
        <v>0</v>
      </c>
      <c r="J85" s="40">
        <f t="shared" si="19"/>
        <v>0</v>
      </c>
      <c r="K85" s="41">
        <f t="shared" si="20"/>
        <v>0</v>
      </c>
      <c r="L85" s="39">
        <f t="shared" si="22"/>
        <v>0</v>
      </c>
      <c r="M85" s="41">
        <f>IF(I85&gt;0,SUM(F98:$F$107),0)</f>
        <v>0</v>
      </c>
      <c r="N85" s="39">
        <f>IF(AND($K$9&gt;BorrowingWriteOff,COUNTIF($N$18:N84,"&gt;0")&lt;MIN(BorrowingMaxPeriod,$K$7)),$K$9/MIN(BorrowingMaxPeriod,$K$7),0)</f>
        <v>0</v>
      </c>
      <c r="O85" s="111">
        <f>IF(G85&gt;0,$K$9-SUM($N$18:N85),0)</f>
        <v>0</v>
      </c>
      <c r="P85" s="124"/>
      <c r="Q85" s="124"/>
      <c r="R85" s="124"/>
      <c r="S85" s="124"/>
      <c r="T85" s="124"/>
      <c r="U85" s="124"/>
      <c r="V85" s="124"/>
      <c r="W85" s="124"/>
    </row>
    <row r="86" spans="1:23" ht="15" customHeight="1" x14ac:dyDescent="0.2">
      <c r="A86" s="116" t="str">
        <f t="shared" ref="A86:A106" si="26">IF(D86&lt;&gt;0,0,"blank")</f>
        <v>blank</v>
      </c>
      <c r="B86" s="117" t="str">
        <f t="shared" si="21"/>
        <v/>
      </c>
      <c r="C86" s="6"/>
      <c r="D86" s="58">
        <f>IF(DateCommence&gt;0,IF(COUNTIF($D$18:D85,"&gt;0")&lt;$B$15,EOMONTH(D85,1),0),0)</f>
        <v>0</v>
      </c>
      <c r="E86" s="59">
        <f t="shared" si="23"/>
        <v>0</v>
      </c>
      <c r="F86" s="60">
        <f t="shared" si="24"/>
        <v>0</v>
      </c>
      <c r="G86" s="60">
        <f>IF(COUNTIF($G$18:G85,"&gt;0")&lt;$K$7,$K$6,0)+IF(AND($K$8&gt;0,D86=$B$13),$K$8,0)</f>
        <v>0</v>
      </c>
      <c r="H86" s="61">
        <f t="shared" si="18"/>
        <v>0</v>
      </c>
      <c r="I86" s="45">
        <f t="shared" si="25"/>
        <v>0</v>
      </c>
      <c r="J86" s="60">
        <f t="shared" si="19"/>
        <v>0</v>
      </c>
      <c r="K86" s="61">
        <f t="shared" si="20"/>
        <v>0</v>
      </c>
      <c r="L86" s="59">
        <f t="shared" si="22"/>
        <v>0</v>
      </c>
      <c r="M86" s="61">
        <f>IF(I86&gt;0,SUM(F99:$F$107),0)</f>
        <v>0</v>
      </c>
      <c r="N86" s="59">
        <f>IF(AND($K$9&gt;BorrowingWriteOff,COUNTIF($N$18:N85,"&gt;0")&lt;MIN(BorrowingMaxPeriod,$K$7)),$K$9/MIN(BorrowingMaxPeriod,$K$7),0)</f>
        <v>0</v>
      </c>
      <c r="O86" s="112">
        <f>IF(G86&gt;0,$K$9-SUM($N$18:N86),0)</f>
        <v>0</v>
      </c>
      <c r="P86" s="124"/>
      <c r="Q86" s="124"/>
      <c r="R86" s="124"/>
      <c r="S86" s="124"/>
      <c r="T86" s="124"/>
      <c r="U86" s="124"/>
      <c r="V86" s="124"/>
      <c r="W86" s="124"/>
    </row>
    <row r="87" spans="1:23" ht="15" customHeight="1" x14ac:dyDescent="0.2">
      <c r="A87" s="116" t="str">
        <f t="shared" si="26"/>
        <v>blank</v>
      </c>
      <c r="B87" s="117" t="str">
        <f t="shared" si="21"/>
        <v/>
      </c>
      <c r="C87" s="6"/>
      <c r="D87" s="47">
        <f>IF(DateCommence&gt;0,IF(COUNTIF($D$18:D86,"&gt;0")&lt;$B$15,EOMONTH(D86,1),0),0)</f>
        <v>0</v>
      </c>
      <c r="E87" s="48">
        <f t="shared" si="23"/>
        <v>0</v>
      </c>
      <c r="F87" s="50">
        <f t="shared" si="24"/>
        <v>0</v>
      </c>
      <c r="G87" s="50">
        <f>IF(COUNTIF($G$18:G86,"&gt;0")&lt;$K$7,$K$6,0)+IF(AND($K$8&gt;0,D87=$B$13),$K$8,0)</f>
        <v>0</v>
      </c>
      <c r="H87" s="51">
        <f t="shared" si="18"/>
        <v>0</v>
      </c>
      <c r="I87" s="57">
        <f t="shared" si="25"/>
        <v>0</v>
      </c>
      <c r="J87" s="50">
        <f t="shared" si="19"/>
        <v>0</v>
      </c>
      <c r="K87" s="51">
        <f t="shared" si="20"/>
        <v>0</v>
      </c>
      <c r="L87" s="48">
        <f t="shared" si="22"/>
        <v>0</v>
      </c>
      <c r="M87" s="51">
        <f>IF(I87&gt;0,SUM(F100:$F$107),0)</f>
        <v>0</v>
      </c>
      <c r="N87" s="48">
        <f>IF(AND($K$9&gt;BorrowingWriteOff,COUNTIF($N$18:N86,"&gt;0")&lt;MIN(BorrowingMaxPeriod,$K$7)),$K$9/MIN(BorrowingMaxPeriod,$K$7),0)</f>
        <v>0</v>
      </c>
      <c r="O87" s="110">
        <f>IF(G87&gt;0,$K$9-SUM($N$18:N87),0)</f>
        <v>0</v>
      </c>
      <c r="P87" s="124"/>
      <c r="Q87" s="124"/>
      <c r="R87" s="124"/>
      <c r="S87" s="124"/>
      <c r="T87" s="124"/>
      <c r="U87" s="124"/>
      <c r="V87" s="124"/>
      <c r="W87" s="124"/>
    </row>
    <row r="88" spans="1:23" ht="15" customHeight="1" x14ac:dyDescent="0.2">
      <c r="A88" s="116" t="str">
        <f t="shared" si="26"/>
        <v>blank</v>
      </c>
      <c r="B88" s="117" t="str">
        <f t="shared" si="21"/>
        <v/>
      </c>
      <c r="C88" s="6"/>
      <c r="D88" s="38">
        <f>IF(DateCommence&gt;0,IF(COUNTIF($D$18:D87,"&gt;0")&lt;$B$15,EOMONTH(D87,1),0),0)</f>
        <v>0</v>
      </c>
      <c r="E88" s="39">
        <f t="shared" si="23"/>
        <v>0</v>
      </c>
      <c r="F88" s="40">
        <f t="shared" si="24"/>
        <v>0</v>
      </c>
      <c r="G88" s="40">
        <f>IF(COUNTIF($G$18:G87,"&gt;0")&lt;$K$7,$K$6,0)+IF(AND($K$8&gt;0,D88=$B$13),$K$8,0)</f>
        <v>0</v>
      </c>
      <c r="H88" s="41">
        <f t="shared" si="18"/>
        <v>0</v>
      </c>
      <c r="I88" s="44">
        <f t="shared" si="25"/>
        <v>0</v>
      </c>
      <c r="J88" s="40">
        <f t="shared" si="19"/>
        <v>0</v>
      </c>
      <c r="K88" s="41">
        <f t="shared" si="20"/>
        <v>0</v>
      </c>
      <c r="L88" s="39">
        <f t="shared" si="22"/>
        <v>0</v>
      </c>
      <c r="M88" s="41">
        <f>IF(I88&gt;0,SUM(F101:$F$107),0)</f>
        <v>0</v>
      </c>
      <c r="N88" s="39">
        <f>IF(AND($K$9&gt;BorrowingWriteOff,COUNTIF($N$18:N87,"&gt;0")&lt;MIN(BorrowingMaxPeriod,$K$7)),$K$9/MIN(BorrowingMaxPeriod,$K$7),0)</f>
        <v>0</v>
      </c>
      <c r="O88" s="111">
        <f>IF(G88&gt;0,$K$9-SUM($N$18:N88),0)</f>
        <v>0</v>
      </c>
      <c r="P88" s="124"/>
      <c r="Q88" s="124"/>
      <c r="R88" s="124"/>
      <c r="S88" s="124"/>
      <c r="T88" s="124"/>
      <c r="U88" s="124"/>
      <c r="V88" s="124"/>
      <c r="W88" s="124"/>
    </row>
    <row r="89" spans="1:23" ht="15" customHeight="1" x14ac:dyDescent="0.2">
      <c r="A89" s="116" t="str">
        <f t="shared" si="26"/>
        <v>blank</v>
      </c>
      <c r="B89" s="117" t="str">
        <f t="shared" si="21"/>
        <v/>
      </c>
      <c r="C89" s="6"/>
      <c r="D89" s="58">
        <f>IF(DateCommence&gt;0,IF(COUNTIF($D$18:D88,"&gt;0")&lt;$B$15,EOMONTH(D88,1),0),0)</f>
        <v>0</v>
      </c>
      <c r="E89" s="59">
        <f t="shared" si="23"/>
        <v>0</v>
      </c>
      <c r="F89" s="60">
        <f t="shared" si="24"/>
        <v>0</v>
      </c>
      <c r="G89" s="60">
        <f>IF(COUNTIF($G$18:G88,"&gt;0")&lt;$K$7,$K$6,0)+IF(AND($K$8&gt;0,D89=$B$13),$K$8,0)</f>
        <v>0</v>
      </c>
      <c r="H89" s="61">
        <f t="shared" si="18"/>
        <v>0</v>
      </c>
      <c r="I89" s="45">
        <f t="shared" si="25"/>
        <v>0</v>
      </c>
      <c r="J89" s="60">
        <f t="shared" si="19"/>
        <v>0</v>
      </c>
      <c r="K89" s="61">
        <f t="shared" si="20"/>
        <v>0</v>
      </c>
      <c r="L89" s="59">
        <f t="shared" si="22"/>
        <v>0</v>
      </c>
      <c r="M89" s="61">
        <f>IF(I89&gt;0,SUM(F102:$F$107),0)</f>
        <v>0</v>
      </c>
      <c r="N89" s="59">
        <f>IF(AND($K$9&gt;BorrowingWriteOff,COUNTIF($N$18:N88,"&gt;0")&lt;MIN(BorrowingMaxPeriod,$K$7)),$K$9/MIN(BorrowingMaxPeriod,$K$7),0)</f>
        <v>0</v>
      </c>
      <c r="O89" s="112">
        <f>IF(G89&gt;0,$K$9-SUM($N$18:N89),0)</f>
        <v>0</v>
      </c>
      <c r="P89" s="124"/>
      <c r="Q89" s="124"/>
      <c r="R89" s="124"/>
      <c r="S89" s="124"/>
      <c r="T89" s="124"/>
      <c r="U89" s="124"/>
      <c r="V89" s="124"/>
      <c r="W89" s="124"/>
    </row>
    <row r="90" spans="1:23" ht="15" customHeight="1" x14ac:dyDescent="0.2">
      <c r="A90" s="116" t="str">
        <f t="shared" si="26"/>
        <v>blank</v>
      </c>
      <c r="B90" s="117" t="str">
        <f t="shared" si="21"/>
        <v/>
      </c>
      <c r="C90" s="6"/>
      <c r="D90" s="47">
        <f>IF(DateCommence&gt;0,IF(COUNTIF($D$18:D89,"&gt;0")&lt;$B$15,EOMONTH(D89,1),0),0)</f>
        <v>0</v>
      </c>
      <c r="E90" s="48">
        <f t="shared" si="23"/>
        <v>0</v>
      </c>
      <c r="F90" s="50">
        <f t="shared" si="24"/>
        <v>0</v>
      </c>
      <c r="G90" s="50">
        <f>IF(COUNTIF($G$18:G89,"&gt;0")&lt;$K$7,$K$6,0)+IF(AND($K$8&gt;0,D90=$B$13),$K$8,0)</f>
        <v>0</v>
      </c>
      <c r="H90" s="51">
        <f t="shared" si="18"/>
        <v>0</v>
      </c>
      <c r="I90" s="57">
        <f t="shared" si="25"/>
        <v>0</v>
      </c>
      <c r="J90" s="50">
        <f t="shared" si="19"/>
        <v>0</v>
      </c>
      <c r="K90" s="51">
        <f t="shared" si="20"/>
        <v>0</v>
      </c>
      <c r="L90" s="48">
        <f t="shared" si="22"/>
        <v>0</v>
      </c>
      <c r="M90" s="51">
        <f>IF(I90&gt;0,SUM(F103:$F$107),0)</f>
        <v>0</v>
      </c>
      <c r="N90" s="48">
        <f>IF(AND($K$9&gt;BorrowingWriteOff,COUNTIF($N$18:N89,"&gt;0")&lt;MIN(BorrowingMaxPeriod,$K$7)),$K$9/MIN(BorrowingMaxPeriod,$K$7),0)</f>
        <v>0</v>
      </c>
      <c r="O90" s="110">
        <f>IF(G90&gt;0,$K$9-SUM($N$18:N90),0)</f>
        <v>0</v>
      </c>
      <c r="P90" s="124"/>
      <c r="Q90" s="124"/>
      <c r="R90" s="124"/>
      <c r="S90" s="124"/>
      <c r="T90" s="124"/>
      <c r="U90" s="124"/>
      <c r="V90" s="124"/>
      <c r="W90" s="124"/>
    </row>
    <row r="91" spans="1:23" ht="15" customHeight="1" x14ac:dyDescent="0.2">
      <c r="A91" s="116" t="str">
        <f t="shared" si="26"/>
        <v>blank</v>
      </c>
      <c r="B91" s="117" t="str">
        <f t="shared" si="21"/>
        <v/>
      </c>
      <c r="C91" s="6"/>
      <c r="D91" s="38">
        <f>IF(DateCommence&gt;0,IF(COUNTIF($D$18:D90,"&gt;0")&lt;$B$15,EOMONTH(D90,1),0),0)</f>
        <v>0</v>
      </c>
      <c r="E91" s="39">
        <f t="shared" si="23"/>
        <v>0</v>
      </c>
      <c r="F91" s="40">
        <f t="shared" si="24"/>
        <v>0</v>
      </c>
      <c r="G91" s="40">
        <f>IF(COUNTIF($G$18:G90,"&gt;0")&lt;$K$7,$K$6,0)+IF(AND($K$8&gt;0,D91=$B$13),$K$8,0)</f>
        <v>0</v>
      </c>
      <c r="H91" s="41">
        <f t="shared" si="18"/>
        <v>0</v>
      </c>
      <c r="I91" s="44">
        <f t="shared" si="25"/>
        <v>0</v>
      </c>
      <c r="J91" s="40">
        <f t="shared" si="19"/>
        <v>0</v>
      </c>
      <c r="K91" s="41">
        <f t="shared" si="20"/>
        <v>0</v>
      </c>
      <c r="L91" s="39">
        <f t="shared" si="22"/>
        <v>0</v>
      </c>
      <c r="M91" s="41">
        <f>IF(I91&gt;0,SUM(F104:$F$107),0)</f>
        <v>0</v>
      </c>
      <c r="N91" s="39">
        <f>IF(AND($K$9&gt;BorrowingWriteOff,COUNTIF($N$18:N90,"&gt;0")&lt;MIN(BorrowingMaxPeriod,$K$7)),$K$9/MIN(BorrowingMaxPeriod,$K$7),0)</f>
        <v>0</v>
      </c>
      <c r="O91" s="111">
        <f>IF(G91&gt;0,$K$9-SUM($N$18:N91),0)</f>
        <v>0</v>
      </c>
      <c r="P91" s="124"/>
      <c r="Q91" s="124"/>
      <c r="R91" s="124"/>
      <c r="S91" s="124"/>
      <c r="T91" s="124"/>
      <c r="U91" s="124"/>
      <c r="V91" s="124"/>
      <c r="W91" s="124"/>
    </row>
    <row r="92" spans="1:23" ht="15" customHeight="1" x14ac:dyDescent="0.2">
      <c r="A92" s="116" t="str">
        <f t="shared" si="26"/>
        <v>blank</v>
      </c>
      <c r="B92" s="117" t="str">
        <f t="shared" si="21"/>
        <v/>
      </c>
      <c r="C92" s="6"/>
      <c r="D92" s="58">
        <f>IF(DateCommence&gt;0,IF(COUNTIF($D$18:D91,"&gt;0")&lt;$B$15,EOMONTH(D91,1),0),0)</f>
        <v>0</v>
      </c>
      <c r="E92" s="59">
        <f t="shared" si="23"/>
        <v>0</v>
      </c>
      <c r="F92" s="60">
        <f t="shared" si="24"/>
        <v>0</v>
      </c>
      <c r="G92" s="60">
        <f>IF(COUNTIF($G$18:G91,"&gt;0")&lt;$K$7,$K$6,0)+IF(AND($K$8&gt;0,D92=$B$13),$K$8,0)</f>
        <v>0</v>
      </c>
      <c r="H92" s="61">
        <f t="shared" si="18"/>
        <v>0</v>
      </c>
      <c r="I92" s="45">
        <f t="shared" si="25"/>
        <v>0</v>
      </c>
      <c r="J92" s="60">
        <f t="shared" si="19"/>
        <v>0</v>
      </c>
      <c r="K92" s="61">
        <f t="shared" si="20"/>
        <v>0</v>
      </c>
      <c r="L92" s="59">
        <f t="shared" si="22"/>
        <v>0</v>
      </c>
      <c r="M92" s="61">
        <f>IF(I92&gt;0,SUM(F105:$F$107),0)</f>
        <v>0</v>
      </c>
      <c r="N92" s="59">
        <f>IF(AND($K$9&gt;BorrowingWriteOff,COUNTIF($N$18:N91,"&gt;0")&lt;MIN(BorrowingMaxPeriod,$K$7)),$K$9/MIN(BorrowingMaxPeriod,$K$7),0)</f>
        <v>0</v>
      </c>
      <c r="O92" s="112">
        <f>IF(G92&gt;0,$K$9-SUM($N$18:N92),0)</f>
        <v>0</v>
      </c>
      <c r="P92" s="124"/>
      <c r="Q92" s="124"/>
      <c r="R92" s="124"/>
      <c r="S92" s="124"/>
      <c r="T92" s="124"/>
      <c r="U92" s="124"/>
      <c r="V92" s="124"/>
      <c r="W92" s="124"/>
    </row>
    <row r="93" spans="1:23" ht="15" customHeight="1" x14ac:dyDescent="0.2">
      <c r="A93" s="116" t="str">
        <f t="shared" si="26"/>
        <v>blank</v>
      </c>
      <c r="B93" s="117" t="str">
        <f t="shared" si="21"/>
        <v/>
      </c>
      <c r="C93" s="6"/>
      <c r="D93" s="47">
        <f>IF(DateCommence&gt;0,IF(COUNTIF($D$18:D92,"&gt;0")&lt;$B$15,EOMONTH(D92,1),0),0)</f>
        <v>0</v>
      </c>
      <c r="E93" s="48">
        <f t="shared" si="23"/>
        <v>0</v>
      </c>
      <c r="F93" s="50">
        <f t="shared" si="24"/>
        <v>0</v>
      </c>
      <c r="G93" s="50">
        <f>IF(COUNTIF($G$18:G92,"&gt;0")&lt;$K$7,$K$6,0)+IF(AND($K$8&gt;0,D93=$B$13),$K$8,0)</f>
        <v>0</v>
      </c>
      <c r="H93" s="51">
        <f t="shared" si="18"/>
        <v>0</v>
      </c>
      <c r="I93" s="57">
        <f t="shared" si="25"/>
        <v>0</v>
      </c>
      <c r="J93" s="50">
        <f t="shared" si="19"/>
        <v>0</v>
      </c>
      <c r="K93" s="51">
        <f t="shared" si="20"/>
        <v>0</v>
      </c>
      <c r="L93" s="48">
        <f t="shared" si="22"/>
        <v>0</v>
      </c>
      <c r="M93" s="51">
        <f>IF(I93&gt;0,SUM(F106:$F$107),0)</f>
        <v>0</v>
      </c>
      <c r="N93" s="48">
        <f>IF(AND($K$9&gt;BorrowingWriteOff,COUNTIF($N$18:N92,"&gt;0")&lt;MIN(BorrowingMaxPeriod,$K$7)),$K$9/MIN(BorrowingMaxPeriod,$K$7),0)</f>
        <v>0</v>
      </c>
      <c r="O93" s="110">
        <f>IF(G93&gt;0,$K$9-SUM($N$18:N93),0)</f>
        <v>0</v>
      </c>
      <c r="P93" s="124"/>
      <c r="Q93" s="124"/>
      <c r="R93" s="124"/>
      <c r="S93" s="124"/>
      <c r="T93" s="124"/>
      <c r="U93" s="124"/>
      <c r="V93" s="124"/>
      <c r="W93" s="124"/>
    </row>
    <row r="94" spans="1:23" ht="15" customHeight="1" x14ac:dyDescent="0.2">
      <c r="A94" s="116" t="str">
        <f t="shared" si="26"/>
        <v>blank</v>
      </c>
      <c r="B94" s="117" t="str">
        <f t="shared" si="21"/>
        <v/>
      </c>
      <c r="C94" s="6"/>
      <c r="D94" s="38">
        <f>IF(DateCommence&gt;0,IF(COUNTIF($D$18:D93,"&gt;0")&lt;$B$15,EOMONTH(D93,1),0),0)</f>
        <v>0</v>
      </c>
      <c r="E94" s="39">
        <f t="shared" si="23"/>
        <v>0</v>
      </c>
      <c r="F94" s="40">
        <f t="shared" si="24"/>
        <v>0</v>
      </c>
      <c r="G94" s="40">
        <f>IF(COUNTIF($G$18:G93,"&gt;0")&lt;$K$7,$K$6,0)+IF(AND($K$8&gt;0,D94=$B$13),$K$8,0)</f>
        <v>0</v>
      </c>
      <c r="H94" s="41">
        <f t="shared" si="18"/>
        <v>0</v>
      </c>
      <c r="I94" s="44">
        <f t="shared" si="25"/>
        <v>0</v>
      </c>
      <c r="J94" s="40">
        <f t="shared" si="19"/>
        <v>0</v>
      </c>
      <c r="K94" s="41">
        <f t="shared" si="20"/>
        <v>0</v>
      </c>
      <c r="L94" s="39">
        <f t="shared" si="22"/>
        <v>0</v>
      </c>
      <c r="M94" s="41">
        <f>IF(I94&gt;0,SUM(F107:$F$107),0)</f>
        <v>0</v>
      </c>
      <c r="N94" s="39">
        <f>IF(AND($K$9&gt;BorrowingWriteOff,COUNTIF($N$18:N93,"&gt;0")&lt;MIN(BorrowingMaxPeriod,$K$7)),$K$9/MIN(BorrowingMaxPeriod,$K$7),0)</f>
        <v>0</v>
      </c>
      <c r="O94" s="111">
        <f>IF(G94&gt;0,$K$9-SUM($N$18:N94),0)</f>
        <v>0</v>
      </c>
      <c r="P94" s="124"/>
      <c r="Q94" s="124"/>
      <c r="R94" s="124"/>
      <c r="S94" s="124"/>
      <c r="T94" s="124"/>
      <c r="U94" s="124"/>
      <c r="V94" s="124"/>
      <c r="W94" s="124"/>
    </row>
    <row r="95" spans="1:23" ht="15" customHeight="1" x14ac:dyDescent="0.2">
      <c r="A95" s="116" t="str">
        <f t="shared" si="26"/>
        <v>blank</v>
      </c>
      <c r="B95" s="117" t="str">
        <f t="shared" si="21"/>
        <v/>
      </c>
      <c r="C95" s="6"/>
      <c r="D95" s="58">
        <f>IF(DateCommence&gt;0,IF(COUNTIF($D$18:D94,"&gt;0")&lt;$B$15,EOMONTH(D94,1),0),0)</f>
        <v>0</v>
      </c>
      <c r="E95" s="59">
        <f t="shared" si="23"/>
        <v>0</v>
      </c>
      <c r="F95" s="60">
        <f t="shared" si="24"/>
        <v>0</v>
      </c>
      <c r="G95" s="60">
        <f>IF(COUNTIF($G$18:G94,"&gt;0")&lt;$K$7,$K$6,0)+IF(AND($K$8&gt;0,D95=$B$13),$K$8,0)</f>
        <v>0</v>
      </c>
      <c r="H95" s="61">
        <f t="shared" si="18"/>
        <v>0</v>
      </c>
      <c r="I95" s="45">
        <f t="shared" si="25"/>
        <v>0</v>
      </c>
      <c r="J95" s="60">
        <f t="shared" si="19"/>
        <v>0</v>
      </c>
      <c r="K95" s="61">
        <f t="shared" si="20"/>
        <v>0</v>
      </c>
      <c r="L95" s="59">
        <f t="shared" si="22"/>
        <v>0</v>
      </c>
      <c r="M95" s="61">
        <f>0</f>
        <v>0</v>
      </c>
      <c r="N95" s="59">
        <f>IF(AND($K$9&gt;BorrowingWriteOff,COUNTIF($N$18:N94,"&gt;0")&lt;MIN(BorrowingMaxPeriod,$K$7)),$K$9/MIN(BorrowingMaxPeriod,$K$7),0)</f>
        <v>0</v>
      </c>
      <c r="O95" s="112">
        <f>IF(G95&gt;0,$K$9-SUM($N$18:N95),0)</f>
        <v>0</v>
      </c>
      <c r="P95" s="124"/>
      <c r="Q95" s="124"/>
      <c r="R95" s="124"/>
      <c r="S95" s="124"/>
      <c r="T95" s="124"/>
      <c r="U95" s="124"/>
      <c r="V95" s="124"/>
      <c r="W95" s="124"/>
    </row>
    <row r="96" spans="1:23" ht="15" customHeight="1" x14ac:dyDescent="0.2">
      <c r="A96" s="116" t="str">
        <f t="shared" si="26"/>
        <v>blank</v>
      </c>
      <c r="B96" s="117" t="str">
        <f t="shared" si="21"/>
        <v/>
      </c>
      <c r="C96" s="6"/>
      <c r="D96" s="47">
        <f>IF(DateCommence&gt;0,IF(COUNTIF($D$18:D95,"&gt;0")&lt;$B$15,EOMONTH(D95,1),0),0)</f>
        <v>0</v>
      </c>
      <c r="E96" s="48">
        <f t="shared" si="23"/>
        <v>0</v>
      </c>
      <c r="F96" s="50">
        <f t="shared" si="24"/>
        <v>0</v>
      </c>
      <c r="G96" s="50">
        <f>IF(COUNTIF($G$18:G95,"&gt;0")&lt;$K$7,$K$6,0)+IF(AND($K$8&gt;0,D96=$B$13),$K$8,0)</f>
        <v>0</v>
      </c>
      <c r="H96" s="51">
        <f t="shared" si="18"/>
        <v>0</v>
      </c>
      <c r="I96" s="57">
        <f t="shared" si="25"/>
        <v>0</v>
      </c>
      <c r="J96" s="50">
        <f>IF(I96&gt;0,SUM(G97:G107),0)</f>
        <v>0</v>
      </c>
      <c r="K96" s="51">
        <f t="shared" si="20"/>
        <v>0</v>
      </c>
      <c r="L96" s="48">
        <f>SUM(F97:F107)</f>
        <v>0</v>
      </c>
      <c r="M96" s="51">
        <f>0</f>
        <v>0</v>
      </c>
      <c r="N96" s="48">
        <f>IF(AND($K$9&gt;BorrowingWriteOff,COUNTIF($N$18:N95,"&gt;0")&lt;MIN(BorrowingMaxPeriod,$K$7)),$K$9/MIN(BorrowingMaxPeriod,$K$7),0)</f>
        <v>0</v>
      </c>
      <c r="O96" s="110">
        <f>IF(G96&gt;0,$K$9-SUM($N$18:N96),0)</f>
        <v>0</v>
      </c>
      <c r="P96" s="124"/>
      <c r="Q96" s="124"/>
      <c r="R96" s="124"/>
      <c r="S96" s="124"/>
      <c r="T96" s="124"/>
      <c r="U96" s="124"/>
      <c r="V96" s="124"/>
      <c r="W96" s="124"/>
    </row>
    <row r="97" spans="1:23" ht="15" customHeight="1" x14ac:dyDescent="0.2">
      <c r="A97" s="116" t="str">
        <f t="shared" si="26"/>
        <v>blank</v>
      </c>
      <c r="B97" s="117" t="str">
        <f t="shared" si="21"/>
        <v/>
      </c>
      <c r="C97" s="6"/>
      <c r="D97" s="38">
        <f>IF(DateCommence&gt;0,IF(COUNTIF($D$18:D96,"&gt;0")&lt;$B$15,EOMONTH(D96,1),0),0)</f>
        <v>0</v>
      </c>
      <c r="E97" s="39">
        <f t="shared" si="23"/>
        <v>0</v>
      </c>
      <c r="F97" s="40">
        <f t="shared" si="24"/>
        <v>0</v>
      </c>
      <c r="G97" s="40">
        <f>IF(COUNTIF($G$18:G96,"&gt;0")&lt;$K$7,$K$6,0)+IF(AND($K$8&gt;0,D97=$B$13),$K$8,0)</f>
        <v>0</v>
      </c>
      <c r="H97" s="41">
        <f t="shared" si="18"/>
        <v>0</v>
      </c>
      <c r="I97" s="44">
        <f t="shared" si="25"/>
        <v>0</v>
      </c>
      <c r="J97" s="40">
        <f>IF(I97&gt;0,SUM(G98:G107),0)</f>
        <v>0</v>
      </c>
      <c r="K97" s="41">
        <f t="shared" si="20"/>
        <v>0</v>
      </c>
      <c r="L97" s="39">
        <f>SUM(F98:F107)</f>
        <v>0</v>
      </c>
      <c r="M97" s="41">
        <f>0</f>
        <v>0</v>
      </c>
      <c r="N97" s="39">
        <f>IF(AND($K$9&gt;BorrowingWriteOff,COUNTIF($N$18:N96,"&gt;0")&lt;MIN(BorrowingMaxPeriod,$K$7)),$K$9/MIN(BorrowingMaxPeriod,$K$7),0)</f>
        <v>0</v>
      </c>
      <c r="O97" s="111">
        <f>IF(G97&gt;0,$K$9-SUM($N$18:N97),0)</f>
        <v>0</v>
      </c>
      <c r="P97" s="124"/>
      <c r="Q97" s="124"/>
      <c r="R97" s="124"/>
      <c r="S97" s="124"/>
      <c r="T97" s="124"/>
      <c r="U97" s="124"/>
      <c r="V97" s="124"/>
      <c r="W97" s="124"/>
    </row>
    <row r="98" spans="1:23" ht="15" customHeight="1" x14ac:dyDescent="0.2">
      <c r="A98" s="116" t="str">
        <f t="shared" si="26"/>
        <v>blank</v>
      </c>
      <c r="B98" s="117" t="str">
        <f t="shared" si="21"/>
        <v/>
      </c>
      <c r="C98" s="6"/>
      <c r="D98" s="58">
        <f>IF(DateCommence&gt;0,IF(COUNTIF($D$18:D97,"&gt;0")&lt;$B$15,EOMONTH(D97,1),0),0)</f>
        <v>0</v>
      </c>
      <c r="E98" s="59">
        <f t="shared" si="23"/>
        <v>0</v>
      </c>
      <c r="F98" s="60">
        <f t="shared" si="24"/>
        <v>0</v>
      </c>
      <c r="G98" s="60">
        <f>IF(COUNTIF($G$18:G97,"&gt;0")&lt;$K$7,$K$6,0)+IF(AND($K$8&gt;0,D98=$B$13),$K$8,0)</f>
        <v>0</v>
      </c>
      <c r="H98" s="61">
        <f t="shared" si="18"/>
        <v>0</v>
      </c>
      <c r="I98" s="45">
        <f t="shared" si="25"/>
        <v>0</v>
      </c>
      <c r="J98" s="60">
        <f>IF(I98&gt;0,SUM(G99:G107),0)</f>
        <v>0</v>
      </c>
      <c r="K98" s="61">
        <f t="shared" si="20"/>
        <v>0</v>
      </c>
      <c r="L98" s="59">
        <f>SUM(F99:F107)</f>
        <v>0</v>
      </c>
      <c r="M98" s="61">
        <f>0</f>
        <v>0</v>
      </c>
      <c r="N98" s="59">
        <f>IF(AND($K$9&gt;BorrowingWriteOff,COUNTIF($N$18:N97,"&gt;0")&lt;MIN(BorrowingMaxPeriod,$K$7)),$K$9/MIN(BorrowingMaxPeriod,$K$7),0)</f>
        <v>0</v>
      </c>
      <c r="O98" s="112">
        <f>IF(G98&gt;0,$K$9-SUM($N$18:N98),0)</f>
        <v>0</v>
      </c>
      <c r="P98" s="124"/>
      <c r="Q98" s="124"/>
      <c r="R98" s="124"/>
      <c r="S98" s="124"/>
      <c r="T98" s="124"/>
      <c r="U98" s="124"/>
      <c r="V98" s="124"/>
      <c r="W98" s="124"/>
    </row>
    <row r="99" spans="1:23" ht="15" customHeight="1" x14ac:dyDescent="0.2">
      <c r="A99" s="116" t="str">
        <f t="shared" si="26"/>
        <v>blank</v>
      </c>
      <c r="B99" s="117" t="str">
        <f t="shared" si="21"/>
        <v/>
      </c>
      <c r="C99" s="6"/>
      <c r="D99" s="47">
        <f>IF(DateCommence&gt;0,IF(COUNTIF($D$18:D98,"&gt;0")&lt;$B$15,EOMONTH(D98,1),0),0)</f>
        <v>0</v>
      </c>
      <c r="E99" s="48">
        <f t="shared" si="23"/>
        <v>0</v>
      </c>
      <c r="F99" s="50">
        <f t="shared" si="24"/>
        <v>0</v>
      </c>
      <c r="G99" s="50">
        <f>IF(COUNTIF($G$18:G98,"&gt;0")&lt;$K$7,$K$6,0)+IF(AND($K$8&gt;0,D99=$B$13),$K$8,0)</f>
        <v>0</v>
      </c>
      <c r="H99" s="51">
        <f t="shared" si="18"/>
        <v>0</v>
      </c>
      <c r="I99" s="57">
        <f t="shared" si="25"/>
        <v>0</v>
      </c>
      <c r="J99" s="50">
        <f>IF(I99&gt;0,SUM(G100:G107),0)</f>
        <v>0</v>
      </c>
      <c r="K99" s="51">
        <f t="shared" si="20"/>
        <v>0</v>
      </c>
      <c r="L99" s="48">
        <f>SUM(F100:F107)</f>
        <v>0</v>
      </c>
      <c r="M99" s="51">
        <f>0</f>
        <v>0</v>
      </c>
      <c r="N99" s="48">
        <f>IF(AND($K$9&gt;BorrowingWriteOff,COUNTIF($N$18:N98,"&gt;0")&lt;MIN(BorrowingMaxPeriod,$K$7)),$K$9/MIN(BorrowingMaxPeriod,$K$7),0)</f>
        <v>0</v>
      </c>
      <c r="O99" s="110">
        <f>IF(G99&gt;0,$K$9-SUM($N$18:N99),0)</f>
        <v>0</v>
      </c>
      <c r="P99" s="124"/>
      <c r="Q99" s="124"/>
      <c r="R99" s="124"/>
      <c r="S99" s="124"/>
      <c r="T99" s="124"/>
      <c r="U99" s="124"/>
      <c r="V99" s="124"/>
      <c r="W99" s="124"/>
    </row>
    <row r="100" spans="1:23" ht="15" customHeight="1" x14ac:dyDescent="0.2">
      <c r="A100" s="116" t="str">
        <f t="shared" si="26"/>
        <v>blank</v>
      </c>
      <c r="B100" s="117" t="str">
        <f t="shared" si="21"/>
        <v/>
      </c>
      <c r="C100" s="6"/>
      <c r="D100" s="38">
        <f>IF(DateCommence&gt;0,IF(COUNTIF($D$18:D99,"&gt;0")&lt;$B$15,EOMONTH(D99,1),0),0)</f>
        <v>0</v>
      </c>
      <c r="E100" s="39">
        <f t="shared" si="23"/>
        <v>0</v>
      </c>
      <c r="F100" s="40">
        <f t="shared" si="24"/>
        <v>0</v>
      </c>
      <c r="G100" s="40">
        <f>IF(COUNTIF($G$18:G99,"&gt;0")&lt;$K$7,$K$6,0)+IF(AND($K$8&gt;0,D100=$B$13),$K$8,0)</f>
        <v>0</v>
      </c>
      <c r="H100" s="41">
        <f t="shared" si="18"/>
        <v>0</v>
      </c>
      <c r="I100" s="44">
        <f t="shared" si="25"/>
        <v>0</v>
      </c>
      <c r="J100" s="40">
        <f>IF(I100&gt;0,SUM(G101:G107),0)</f>
        <v>0</v>
      </c>
      <c r="K100" s="41">
        <f t="shared" si="20"/>
        <v>0</v>
      </c>
      <c r="L100" s="39">
        <f>SUM(F101:F107)</f>
        <v>0</v>
      </c>
      <c r="M100" s="41">
        <f>0</f>
        <v>0</v>
      </c>
      <c r="N100" s="39">
        <f>IF(AND($K$9&gt;BorrowingWriteOff,COUNTIF($N$18:N99,"&gt;0")&lt;MIN(BorrowingMaxPeriod,$K$7)),$K$9/MIN(BorrowingMaxPeriod,$K$7),0)</f>
        <v>0</v>
      </c>
      <c r="O100" s="111">
        <f>IF(G100&gt;0,$K$9-SUM($N$18:N100),0)</f>
        <v>0</v>
      </c>
      <c r="P100" s="124"/>
      <c r="Q100" s="124"/>
      <c r="R100" s="124"/>
      <c r="S100" s="124"/>
      <c r="T100" s="124"/>
      <c r="U100" s="124"/>
      <c r="V100" s="124"/>
      <c r="W100" s="124"/>
    </row>
    <row r="101" spans="1:23" ht="15" customHeight="1" x14ac:dyDescent="0.2">
      <c r="A101" s="116" t="str">
        <f t="shared" si="26"/>
        <v>blank</v>
      </c>
      <c r="B101" s="117" t="str">
        <f t="shared" si="21"/>
        <v/>
      </c>
      <c r="C101" s="6"/>
      <c r="D101" s="58">
        <f>IF(DateCommence&gt;0,IF(COUNTIF($D$18:D100,"&gt;0")&lt;$B$15,EOMONTH(D100,1),0),0)</f>
        <v>0</v>
      </c>
      <c r="E101" s="59">
        <f t="shared" si="23"/>
        <v>0</v>
      </c>
      <c r="F101" s="60">
        <f t="shared" si="24"/>
        <v>0</v>
      </c>
      <c r="G101" s="60">
        <f>IF(COUNTIF($G$18:G100,"&gt;0")&lt;$K$7,$K$6,0)+IF(AND($K$8&gt;0,D101=$B$13),$K$8,0)</f>
        <v>0</v>
      </c>
      <c r="H101" s="61">
        <f t="shared" si="18"/>
        <v>0</v>
      </c>
      <c r="I101" s="45">
        <f t="shared" si="25"/>
        <v>0</v>
      </c>
      <c r="J101" s="60">
        <f>IF(I101&gt;0,SUM(G102:G107),0)</f>
        <v>0</v>
      </c>
      <c r="K101" s="61">
        <f t="shared" si="20"/>
        <v>0</v>
      </c>
      <c r="L101" s="59">
        <f>SUM(F102:F107)</f>
        <v>0</v>
      </c>
      <c r="M101" s="61">
        <f>0</f>
        <v>0</v>
      </c>
      <c r="N101" s="59">
        <f>IF(AND($K$9&gt;BorrowingWriteOff,COUNTIF($N$18:N100,"&gt;0")&lt;MIN(BorrowingMaxPeriod,$K$7)),$K$9/MIN(BorrowingMaxPeriod,$K$7),0)</f>
        <v>0</v>
      </c>
      <c r="O101" s="112">
        <f>IF(G101&gt;0,$K$9-SUM($N$18:N101),0)</f>
        <v>0</v>
      </c>
      <c r="P101" s="124"/>
      <c r="Q101" s="124"/>
      <c r="R101" s="124"/>
      <c r="S101" s="124"/>
      <c r="T101" s="124"/>
      <c r="U101" s="124"/>
      <c r="V101" s="124"/>
      <c r="W101" s="124"/>
    </row>
    <row r="102" spans="1:23" ht="15" customHeight="1" x14ac:dyDescent="0.2">
      <c r="A102" s="116" t="str">
        <f t="shared" si="26"/>
        <v>blank</v>
      </c>
      <c r="B102" s="117" t="str">
        <f t="shared" si="21"/>
        <v/>
      </c>
      <c r="C102" s="6"/>
      <c r="D102" s="47">
        <f>IF(DateCommence&gt;0,IF(COUNTIF($D$18:D101,"&gt;0")&lt;$B$15,EOMONTH(D101,1),0),0)</f>
        <v>0</v>
      </c>
      <c r="E102" s="48">
        <f t="shared" si="23"/>
        <v>0</v>
      </c>
      <c r="F102" s="50">
        <f t="shared" si="24"/>
        <v>0</v>
      </c>
      <c r="G102" s="50">
        <f>IF(COUNTIF($G$18:G101,"&gt;0")&lt;$K$7,$K$6,0)+IF(AND($K$8&gt;0,D102=$B$13),$K$8,0)</f>
        <v>0</v>
      </c>
      <c r="H102" s="51">
        <f t="shared" si="18"/>
        <v>0</v>
      </c>
      <c r="I102" s="57">
        <f t="shared" si="25"/>
        <v>0</v>
      </c>
      <c r="J102" s="50">
        <f>IF(I102&gt;0,SUM(G103:G107),0)</f>
        <v>0</v>
      </c>
      <c r="K102" s="51">
        <f t="shared" si="20"/>
        <v>0</v>
      </c>
      <c r="L102" s="48">
        <f>SUM(F103:F107)</f>
        <v>0</v>
      </c>
      <c r="M102" s="51">
        <f>0</f>
        <v>0</v>
      </c>
      <c r="N102" s="48">
        <f>IF(AND($K$9&gt;BorrowingWriteOff,COUNTIF($N$18:N101,"&gt;0")&lt;MIN(BorrowingMaxPeriod,$K$7)),$K$9/MIN(BorrowingMaxPeriod,$K$7),0)</f>
        <v>0</v>
      </c>
      <c r="O102" s="110">
        <f>IF(G102&gt;0,$K$9-SUM($N$18:N102),0)</f>
        <v>0</v>
      </c>
      <c r="P102" s="124"/>
      <c r="Q102" s="124"/>
      <c r="R102" s="124"/>
      <c r="S102" s="124"/>
      <c r="T102" s="124"/>
      <c r="U102" s="124"/>
      <c r="V102" s="124"/>
      <c r="W102" s="124"/>
    </row>
    <row r="103" spans="1:23" ht="15" customHeight="1" x14ac:dyDescent="0.2">
      <c r="A103" s="116" t="str">
        <f t="shared" si="26"/>
        <v>blank</v>
      </c>
      <c r="B103" s="117" t="str">
        <f t="shared" si="21"/>
        <v/>
      </c>
      <c r="C103" s="6"/>
      <c r="D103" s="38">
        <f>IF(DateCommence&gt;0,IF(COUNTIF($D$18:D102,"&gt;0")&lt;$B$15,EOMONTH(D102,1),0),0)</f>
        <v>0</v>
      </c>
      <c r="E103" s="39">
        <f t="shared" si="23"/>
        <v>0</v>
      </c>
      <c r="F103" s="40">
        <f t="shared" si="24"/>
        <v>0</v>
      </c>
      <c r="G103" s="40">
        <f>IF(COUNTIF($G$18:G102,"&gt;0")&lt;$K$7,$K$6,0)+IF(AND($K$8&gt;0,D103=$B$13),$K$8,0)</f>
        <v>0</v>
      </c>
      <c r="H103" s="41">
        <f t="shared" si="18"/>
        <v>0</v>
      </c>
      <c r="I103" s="44">
        <f t="shared" si="25"/>
        <v>0</v>
      </c>
      <c r="J103" s="40">
        <f>IF(I103&gt;0,SUM(G104:G107),0)</f>
        <v>0</v>
      </c>
      <c r="K103" s="41">
        <f t="shared" si="20"/>
        <v>0</v>
      </c>
      <c r="L103" s="39">
        <f>SUM(F104:F107)</f>
        <v>0</v>
      </c>
      <c r="M103" s="41">
        <f>0</f>
        <v>0</v>
      </c>
      <c r="N103" s="39">
        <f>IF(AND($K$9&gt;BorrowingWriteOff,COUNTIF($N$18:N102,"&gt;0")&lt;MIN(BorrowingMaxPeriod,$K$7)),$K$9/MIN(BorrowingMaxPeriod,$K$7),0)</f>
        <v>0</v>
      </c>
      <c r="O103" s="111">
        <f>IF(G103&gt;0,$K$9-SUM($N$18:N103),0)</f>
        <v>0</v>
      </c>
      <c r="P103" s="124"/>
      <c r="Q103" s="124"/>
      <c r="R103" s="124"/>
      <c r="S103" s="124"/>
      <c r="T103" s="124"/>
      <c r="U103" s="124"/>
      <c r="V103" s="124"/>
      <c r="W103" s="124"/>
    </row>
    <row r="104" spans="1:23" ht="15" customHeight="1" x14ac:dyDescent="0.2">
      <c r="A104" s="116" t="str">
        <f t="shared" si="26"/>
        <v>blank</v>
      </c>
      <c r="B104" s="117" t="str">
        <f t="shared" si="21"/>
        <v/>
      </c>
      <c r="C104" s="6"/>
      <c r="D104" s="58">
        <f>IF(DateCommence&gt;0,IF(COUNTIF($D$18:D103,"&gt;0")&lt;$B$15,EOMONTH(D103,1),0),0)</f>
        <v>0</v>
      </c>
      <c r="E104" s="59">
        <f t="shared" si="23"/>
        <v>0</v>
      </c>
      <c r="F104" s="60">
        <f t="shared" si="24"/>
        <v>0</v>
      </c>
      <c r="G104" s="60">
        <f>IF(COUNTIF($G$18:G103,"&gt;0")&lt;$K$7,$K$6,0)+IF(AND($K$8&gt;0,D104=$B$13),$K$8,0)</f>
        <v>0</v>
      </c>
      <c r="H104" s="61">
        <f t="shared" si="18"/>
        <v>0</v>
      </c>
      <c r="I104" s="45">
        <f t="shared" si="25"/>
        <v>0</v>
      </c>
      <c r="J104" s="60">
        <f>IF(I104&gt;0,SUM(G105:G107),0)</f>
        <v>0</v>
      </c>
      <c r="K104" s="61">
        <f t="shared" si="20"/>
        <v>0</v>
      </c>
      <c r="L104" s="59">
        <f>SUM(F105:F107)</f>
        <v>0</v>
      </c>
      <c r="M104" s="61">
        <f>0</f>
        <v>0</v>
      </c>
      <c r="N104" s="59">
        <f>IF(AND($K$9&gt;BorrowingWriteOff,COUNTIF($N$18:N103,"&gt;0")&lt;MIN(BorrowingMaxPeriod,$K$7)),$K$9/MIN(BorrowingMaxPeriod,$K$7),0)</f>
        <v>0</v>
      </c>
      <c r="O104" s="112">
        <f>IF(G104&gt;0,$K$9-SUM($N$18:N104),0)</f>
        <v>0</v>
      </c>
      <c r="P104" s="124"/>
      <c r="Q104" s="124"/>
      <c r="R104" s="124"/>
      <c r="S104" s="124"/>
      <c r="T104" s="124"/>
      <c r="U104" s="124"/>
      <c r="V104" s="124"/>
      <c r="W104" s="124"/>
    </row>
    <row r="105" spans="1:23" ht="15" customHeight="1" x14ac:dyDescent="0.2">
      <c r="A105" s="116" t="str">
        <f t="shared" si="26"/>
        <v>blank</v>
      </c>
      <c r="B105" s="117" t="str">
        <f t="shared" si="21"/>
        <v/>
      </c>
      <c r="C105" s="6"/>
      <c r="D105" s="47">
        <f>IF(DateCommence&gt;0,IF(COUNTIF($D$18:D104,"&gt;0")&lt;$B$15,EOMONTH(D104,1),0),0)</f>
        <v>0</v>
      </c>
      <c r="E105" s="48">
        <f t="shared" si="23"/>
        <v>0</v>
      </c>
      <c r="F105" s="50">
        <f t="shared" si="24"/>
        <v>0</v>
      </c>
      <c r="G105" s="50">
        <f>IF(COUNTIF($G$18:G104,"&gt;0")&lt;$K$7,$K$6,0)+IF(AND($K$8&gt;0,D105=$B$13),$K$8,0)</f>
        <v>0</v>
      </c>
      <c r="H105" s="51">
        <f t="shared" si="18"/>
        <v>0</v>
      </c>
      <c r="I105" s="57">
        <f t="shared" si="25"/>
        <v>0</v>
      </c>
      <c r="J105" s="50">
        <f>IF(I105&gt;0,SUM(G106:G107),0)</f>
        <v>0</v>
      </c>
      <c r="K105" s="51">
        <f t="shared" si="20"/>
        <v>0</v>
      </c>
      <c r="L105" s="48">
        <f>SUM(F106:F107)</f>
        <v>0</v>
      </c>
      <c r="M105" s="51">
        <f>0</f>
        <v>0</v>
      </c>
      <c r="N105" s="48">
        <f>IF(AND($K$9&gt;BorrowingWriteOff,COUNTIF($N$18:N104,"&gt;0")&lt;MIN(BorrowingMaxPeriod,$K$7)),$K$9/MIN(BorrowingMaxPeriod,$K$7),0)</f>
        <v>0</v>
      </c>
      <c r="O105" s="110">
        <f>IF(G105&gt;0,$K$9-SUM($N$18:N105),0)</f>
        <v>0</v>
      </c>
      <c r="P105" s="124"/>
      <c r="Q105" s="124"/>
      <c r="R105" s="124"/>
      <c r="S105" s="124"/>
      <c r="T105" s="124"/>
      <c r="U105" s="124"/>
      <c r="V105" s="124"/>
      <c r="W105" s="124"/>
    </row>
    <row r="106" spans="1:23" ht="15" customHeight="1" x14ac:dyDescent="0.2">
      <c r="A106" s="116" t="str">
        <f t="shared" si="26"/>
        <v>blank</v>
      </c>
      <c r="B106" s="117" t="str">
        <f t="shared" si="21"/>
        <v/>
      </c>
      <c r="C106" s="6"/>
      <c r="D106" s="38">
        <f>IF(DateCommence&gt;0,IF(COUNTIF($D$18:D105,"&gt;0")&lt;$B$15,EOMONTH(D105,1),0),0)</f>
        <v>0</v>
      </c>
      <c r="E106" s="39">
        <f t="shared" si="23"/>
        <v>0</v>
      </c>
      <c r="F106" s="40">
        <f t="shared" si="24"/>
        <v>0</v>
      </c>
      <c r="G106" s="40">
        <f>IF(COUNTIF($G$18:G105,"&gt;0")&lt;$K$7,$K$6,0)+IF(AND($K$8&gt;0,D106=$B$13),$K$8,0)</f>
        <v>0</v>
      </c>
      <c r="H106" s="41">
        <f t="shared" si="18"/>
        <v>0</v>
      </c>
      <c r="I106" s="44">
        <f t="shared" si="25"/>
        <v>0</v>
      </c>
      <c r="J106" s="40">
        <f>IF(I106&gt;0,SUM(G107:G107),0)</f>
        <v>0</v>
      </c>
      <c r="K106" s="41">
        <f t="shared" si="20"/>
        <v>0</v>
      </c>
      <c r="L106" s="39">
        <f>SUM(F107:F107)</f>
        <v>0</v>
      </c>
      <c r="M106" s="41">
        <f>0</f>
        <v>0</v>
      </c>
      <c r="N106" s="39">
        <f>IF(AND($K$9&gt;BorrowingWriteOff,COUNTIF($N$18:N105,"&gt;0")&lt;MIN(BorrowingMaxPeriod,$K$7)),$K$9/MIN(BorrowingMaxPeriod,$K$7),0)</f>
        <v>0</v>
      </c>
      <c r="O106" s="111">
        <f>IF(G106&gt;0,$K$9-SUM($N$18:N106),0)</f>
        <v>0</v>
      </c>
      <c r="P106" s="124"/>
      <c r="Q106" s="124"/>
      <c r="R106" s="124"/>
      <c r="S106" s="124"/>
      <c r="T106" s="124"/>
      <c r="U106" s="124"/>
      <c r="V106" s="124"/>
      <c r="W106" s="124"/>
    </row>
    <row r="107" spans="1:23" ht="15" customHeight="1" x14ac:dyDescent="0.2">
      <c r="B107" s="117" t="str">
        <f t="shared" si="21"/>
        <v/>
      </c>
      <c r="C107" s="6"/>
      <c r="D107" s="58">
        <f>IF(DateCommence&gt;0,IF(COUNTIF($D$18:D106,"&gt;0")&lt;$B$15,EOMONTH(D106,1),0),0)</f>
        <v>0</v>
      </c>
      <c r="E107" s="137">
        <f t="shared" si="23"/>
        <v>0</v>
      </c>
      <c r="F107" s="118">
        <f t="shared" si="24"/>
        <v>0</v>
      </c>
      <c r="G107" s="118">
        <f>IF(COUNTIF($G$18:G106,"&gt;0")&lt;$K$7,$K$6,0)+IF(AND($K$8&gt;0,D107=$B$13),$K$8,0)</f>
        <v>0</v>
      </c>
      <c r="H107" s="138">
        <f t="shared" si="18"/>
        <v>0</v>
      </c>
      <c r="I107" s="45">
        <f t="shared" si="25"/>
        <v>0</v>
      </c>
      <c r="J107" s="60">
        <f>0</f>
        <v>0</v>
      </c>
      <c r="K107" s="61">
        <f>0</f>
        <v>0</v>
      </c>
      <c r="L107" s="59">
        <f>0</f>
        <v>0</v>
      </c>
      <c r="M107" s="61">
        <f>0</f>
        <v>0</v>
      </c>
      <c r="N107" s="137">
        <f>IF(AND($K$9&gt;BorrowingWriteOff,COUNTIF($N$18:N106,"&gt;0")&lt;MIN(BorrowingMaxPeriod,$K$7)),$K$9/MIN(BorrowingMaxPeriod,$K$7),0)</f>
        <v>0</v>
      </c>
      <c r="O107" s="112">
        <f>IF(G107&gt;0,$K$9-SUM($N$18:N107),0)</f>
        <v>0</v>
      </c>
      <c r="P107" s="124"/>
      <c r="Q107" s="124"/>
      <c r="R107" s="124"/>
      <c r="S107" s="124"/>
      <c r="T107" s="124"/>
      <c r="U107" s="124"/>
      <c r="V107" s="124"/>
      <c r="W107" s="124"/>
    </row>
    <row r="108" spans="1:23" ht="15" customHeight="1" x14ac:dyDescent="0.2">
      <c r="B108" s="76"/>
      <c r="C108" s="1"/>
      <c r="D108" s="46" t="s">
        <v>8</v>
      </c>
      <c r="E108" s="156">
        <f>K5</f>
        <v>0</v>
      </c>
      <c r="F108" s="157">
        <f>SUM(F18:F107)</f>
        <v>0</v>
      </c>
      <c r="G108" s="157">
        <f>SUM(G18:G107)</f>
        <v>0</v>
      </c>
      <c r="H108" s="158" t="str">
        <f>"0 "</f>
        <v xml:space="preserve">0 </v>
      </c>
      <c r="I108" s="42"/>
      <c r="J108" s="43"/>
      <c r="K108" s="43"/>
      <c r="L108" s="43"/>
      <c r="M108" s="43"/>
      <c r="N108" s="159">
        <f>SUM(N18:N107)</f>
        <v>0</v>
      </c>
      <c r="P108" s="124"/>
      <c r="Q108" s="124"/>
      <c r="R108" s="124"/>
      <c r="S108" s="124"/>
      <c r="T108" s="124"/>
      <c r="U108" s="124"/>
      <c r="V108" s="124"/>
      <c r="W108" s="124"/>
    </row>
    <row r="109" spans="1:23" ht="15" customHeight="1" x14ac:dyDescent="0.2">
      <c r="B109" s="75" t="str">
        <f>"blank"</f>
        <v>blank</v>
      </c>
      <c r="C109" s="6"/>
      <c r="D109" s="7"/>
      <c r="E109" s="6"/>
      <c r="F109" s="6"/>
      <c r="G109" s="6"/>
      <c r="H109" s="6"/>
      <c r="I109" s="6"/>
      <c r="J109" s="6"/>
      <c r="K109" s="6"/>
      <c r="L109" s="6"/>
      <c r="M109" s="6"/>
      <c r="N109" s="6"/>
      <c r="P109" s="124"/>
      <c r="Q109" s="124"/>
      <c r="R109" s="124"/>
      <c r="S109" s="124"/>
      <c r="T109" s="124"/>
      <c r="U109" s="124"/>
      <c r="V109" s="124"/>
      <c r="W109" s="124"/>
    </row>
    <row r="110" spans="1:23" ht="15" customHeight="1" x14ac:dyDescent="0.2">
      <c r="P110" s="124"/>
      <c r="Q110" s="124"/>
      <c r="R110" s="124"/>
      <c r="S110" s="124"/>
      <c r="T110" s="124"/>
      <c r="U110" s="124"/>
      <c r="V110" s="124"/>
      <c r="W110" s="124"/>
    </row>
    <row r="111" spans="1:23" ht="15" customHeight="1" x14ac:dyDescent="0.2">
      <c r="P111" s="124"/>
      <c r="Q111" s="124"/>
      <c r="R111" s="124"/>
      <c r="S111" s="124"/>
      <c r="T111" s="124"/>
      <c r="U111" s="124"/>
      <c r="V111" s="124"/>
      <c r="W111" s="124"/>
    </row>
    <row r="112" spans="1:23" ht="15" customHeight="1" x14ac:dyDescent="0.2">
      <c r="P112" s="124"/>
      <c r="Q112" s="124"/>
      <c r="R112" s="124"/>
      <c r="S112" s="124"/>
      <c r="T112" s="124"/>
      <c r="U112" s="124"/>
      <c r="V112" s="124"/>
      <c r="W112" s="124"/>
    </row>
    <row r="113" spans="16:23" ht="15" customHeight="1" x14ac:dyDescent="0.2">
      <c r="P113" s="124"/>
      <c r="Q113" s="124"/>
      <c r="R113" s="124"/>
      <c r="S113" s="124"/>
      <c r="T113" s="124"/>
      <c r="U113" s="124"/>
      <c r="V113" s="124"/>
      <c r="W113" s="124"/>
    </row>
    <row r="114" spans="16:23" ht="15" customHeight="1" x14ac:dyDescent="0.2">
      <c r="P114" s="124"/>
      <c r="Q114" s="124"/>
      <c r="R114" s="124"/>
      <c r="S114" s="124"/>
      <c r="T114" s="124"/>
      <c r="U114" s="124"/>
      <c r="V114" s="124"/>
      <c r="W114" s="124"/>
    </row>
    <row r="115" spans="16:23" ht="15" customHeight="1" x14ac:dyDescent="0.2">
      <c r="P115" s="124"/>
      <c r="Q115" s="124"/>
      <c r="R115" s="124"/>
      <c r="S115" s="124"/>
      <c r="T115" s="124"/>
      <c r="U115" s="124"/>
      <c r="V115" s="124"/>
      <c r="W115" s="124"/>
    </row>
    <row r="116" spans="16:23" ht="15" customHeight="1" x14ac:dyDescent="0.2">
      <c r="P116" s="124"/>
      <c r="Q116" s="124"/>
      <c r="R116" s="124"/>
      <c r="S116" s="124"/>
      <c r="T116" s="124"/>
      <c r="U116" s="124"/>
      <c r="V116" s="124"/>
      <c r="W116" s="124"/>
    </row>
    <row r="117" spans="16:23" ht="15" customHeight="1" x14ac:dyDescent="0.2">
      <c r="P117" s="124"/>
      <c r="Q117" s="124"/>
      <c r="R117" s="124"/>
      <c r="S117" s="124"/>
      <c r="T117" s="124"/>
      <c r="U117" s="124"/>
      <c r="V117" s="124"/>
      <c r="W117" s="124"/>
    </row>
    <row r="118" spans="16:23" ht="15" customHeight="1" x14ac:dyDescent="0.2">
      <c r="P118" s="124"/>
      <c r="Q118" s="124"/>
      <c r="R118" s="124"/>
      <c r="S118" s="124"/>
      <c r="T118" s="124"/>
      <c r="U118" s="124"/>
      <c r="V118" s="124"/>
      <c r="W118" s="124"/>
    </row>
    <row r="119" spans="16:23" ht="15" customHeight="1" x14ac:dyDescent="0.2">
      <c r="P119" s="124"/>
      <c r="Q119" s="124"/>
      <c r="R119" s="124"/>
      <c r="S119" s="124"/>
      <c r="T119" s="124"/>
      <c r="U119" s="124"/>
      <c r="V119" s="124"/>
      <c r="W119" s="124"/>
    </row>
    <row r="120" spans="16:23" ht="15" customHeight="1" x14ac:dyDescent="0.2">
      <c r="P120" s="124"/>
      <c r="Q120" s="124"/>
      <c r="R120" s="124"/>
      <c r="S120" s="124"/>
      <c r="T120" s="124"/>
      <c r="U120" s="124"/>
      <c r="V120" s="124"/>
      <c r="W120" s="124"/>
    </row>
    <row r="121" spans="16:23" ht="15" customHeight="1" x14ac:dyDescent="0.2">
      <c r="P121" s="124"/>
      <c r="Q121" s="124"/>
      <c r="R121" s="124"/>
      <c r="S121" s="124"/>
      <c r="T121" s="124"/>
      <c r="U121" s="124"/>
      <c r="V121" s="124"/>
      <c r="W121" s="124"/>
    </row>
    <row r="122" spans="16:23" ht="15" customHeight="1" x14ac:dyDescent="0.2">
      <c r="P122" s="124"/>
      <c r="Q122" s="124"/>
      <c r="R122" s="124"/>
      <c r="S122" s="124"/>
      <c r="T122" s="124"/>
      <c r="U122" s="124"/>
      <c r="V122" s="124"/>
      <c r="W122" s="124"/>
    </row>
    <row r="123" spans="16:23" ht="15" customHeight="1" x14ac:dyDescent="0.2">
      <c r="P123" s="124"/>
      <c r="Q123" s="124"/>
      <c r="R123" s="124"/>
      <c r="S123" s="124"/>
      <c r="T123" s="124"/>
      <c r="U123" s="124"/>
      <c r="V123" s="124"/>
      <c r="W123" s="124"/>
    </row>
    <row r="124" spans="16:23" ht="15" customHeight="1" x14ac:dyDescent="0.2">
      <c r="P124" s="124"/>
      <c r="Q124" s="124"/>
      <c r="R124" s="124"/>
      <c r="S124" s="124"/>
      <c r="T124" s="124"/>
      <c r="U124" s="124"/>
      <c r="V124" s="124"/>
      <c r="W124" s="124"/>
    </row>
    <row r="125" spans="16:23" ht="15" customHeight="1" x14ac:dyDescent="0.2">
      <c r="P125" s="124"/>
      <c r="Q125" s="124"/>
      <c r="R125" s="124"/>
      <c r="S125" s="124"/>
      <c r="T125" s="124"/>
      <c r="U125" s="124"/>
      <c r="V125" s="124"/>
      <c r="W125" s="124"/>
    </row>
    <row r="126" spans="16:23" ht="15" customHeight="1" x14ac:dyDescent="0.2">
      <c r="P126" s="124"/>
      <c r="Q126" s="124"/>
      <c r="R126" s="124"/>
      <c r="S126" s="124"/>
      <c r="T126" s="124"/>
      <c r="U126" s="124"/>
      <c r="V126" s="124"/>
      <c r="W126" s="124"/>
    </row>
    <row r="127" spans="16:23" ht="15" customHeight="1" x14ac:dyDescent="0.2">
      <c r="P127" s="124"/>
      <c r="Q127" s="124"/>
      <c r="R127" s="124"/>
      <c r="S127" s="124"/>
      <c r="T127" s="124"/>
      <c r="U127" s="124"/>
      <c r="V127" s="124"/>
      <c r="W127" s="124"/>
    </row>
    <row r="128" spans="16:23" ht="15" customHeight="1" x14ac:dyDescent="0.2">
      <c r="P128" s="124"/>
      <c r="Q128" s="124"/>
      <c r="R128" s="124"/>
      <c r="S128" s="124"/>
      <c r="T128" s="124"/>
      <c r="U128" s="124"/>
      <c r="V128" s="124"/>
      <c r="W128" s="124"/>
    </row>
    <row r="129" spans="16:23" ht="15" customHeight="1" x14ac:dyDescent="0.2">
      <c r="P129" s="124"/>
      <c r="Q129" s="124"/>
      <c r="R129" s="124"/>
      <c r="S129" s="124"/>
      <c r="T129" s="124"/>
      <c r="U129" s="124"/>
      <c r="V129" s="124"/>
      <c r="W129" s="124"/>
    </row>
  </sheetData>
  <sheetProtection algorithmName="SHA-512" hashValue="pLWA4TOhxHWSNGUCK/76s5ddCePTAp/KhGDx7CZXhuHzQOEWCcHkNscFPJK1w0wDtdbCfDeqfBk+BUFwQ/467g==" saltValue="g3/Sy+Nv2Q2wBHd7gddItw==" spinCount="100000" sheet="1" objects="1" scenarios="1" formatCells="0" insertHyperlinks="0" sort="0" autoFilter="0"/>
  <mergeCells count="26">
    <mergeCell ref="I9:J9"/>
    <mergeCell ref="I10:J10"/>
    <mergeCell ref="I4:K4"/>
    <mergeCell ref="D13:E13"/>
    <mergeCell ref="M4:O4"/>
    <mergeCell ref="N16:O16"/>
    <mergeCell ref="Q4:S4"/>
    <mergeCell ref="Q5:S8"/>
    <mergeCell ref="M1:O1"/>
    <mergeCell ref="M2:O2"/>
    <mergeCell ref="A3:B3"/>
    <mergeCell ref="A4:B4"/>
    <mergeCell ref="A8:B8"/>
    <mergeCell ref="A12:B12"/>
    <mergeCell ref="L16:M16"/>
    <mergeCell ref="I16:K16"/>
    <mergeCell ref="D16:H16"/>
    <mergeCell ref="E7:G7"/>
    <mergeCell ref="E9:G9"/>
    <mergeCell ref="D11:E11"/>
    <mergeCell ref="E5:G5"/>
    <mergeCell ref="I12:K14"/>
    <mergeCell ref="I5:J5"/>
    <mergeCell ref="I6:J6"/>
    <mergeCell ref="I7:J7"/>
    <mergeCell ref="I8:J8"/>
  </mergeCells>
  <conditionalFormatting sqref="E9">
    <cfRule type="containsText" dxfId="14" priority="7" stopIfTrue="1" operator="containsText" text="Please Select">
      <formula>NOT(ISERROR(SEARCH("Please Select",E9)))</formula>
    </cfRule>
  </conditionalFormatting>
  <conditionalFormatting sqref="M1">
    <cfRule type="containsText" dxfId="13" priority="6" stopIfTrue="1" operator="containsText" text="Client Name">
      <formula>NOT(ISERROR(SEARCH("Client Name",M1)))</formula>
    </cfRule>
  </conditionalFormatting>
  <conditionalFormatting sqref="M2">
    <cfRule type="containsText" dxfId="12" priority="5" stopIfTrue="1" operator="containsText" text="Preparer Name">
      <formula>NOT(ISERROR(SEARCH("Preparer Name",M2)))</formula>
    </cfRule>
  </conditionalFormatting>
  <conditionalFormatting sqref="I12">
    <cfRule type="notContainsBlanks" dxfId="11" priority="9" stopIfTrue="1">
      <formula>LEN(TRIM(I12))&gt;0</formula>
    </cfRule>
  </conditionalFormatting>
  <conditionalFormatting sqref="D18:O107">
    <cfRule type="expression" dxfId="10" priority="3">
      <formula>$D18=0</formula>
    </cfRule>
  </conditionalFormatting>
  <conditionalFormatting sqref="N6:O13">
    <cfRule type="cellIs" dxfId="9" priority="1" operator="equal">
      <formula>0</formula>
    </cfRule>
  </conditionalFormatting>
  <dataValidations count="2">
    <dataValidation type="list" allowBlank="1" showInputMessage="1" showErrorMessage="1" sqref="E9" xr:uid="{00000000-0002-0000-0000-000000000000}">
      <formula1>"Please Select,On Commencement,One Month From Commencement"</formula1>
    </dataValidation>
    <dataValidation type="whole" allowBlank="1" showInputMessage="1" showErrorMessage="1" errorTitle="Term of Loan" error="The term must be at least 12 months and no more than 84 months." sqref="K7" xr:uid="{00000000-0002-0000-0000-000001000000}">
      <formula1>12</formula1>
      <formula2>84</formula2>
    </dataValidation>
  </dataValidations>
  <printOptions horizontalCentered="1"/>
  <pageMargins left="0.15748031496062992" right="0.15748031496062992" top="0.31496062992125984" bottom="0.59055118110236227" header="0.31496062992125984" footer="0.19685039370078741"/>
  <pageSetup paperSize="9" scale="69" fitToHeight="2" orientation="portrait" r:id="rId1"/>
  <headerFooter>
    <oddFooter>&amp;L&amp;F&amp;C&amp;A&amp;RPage &amp;P of &amp;N</oddFooter>
  </headerFooter>
  <rowBreaks count="1" manualBreakCount="1">
    <brk id="74" max="16383" man="1"/>
  </row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D4877-18D9-46B7-A54B-7D6651B3AC5F}">
  <sheetPr codeName="Sheet2">
    <tabColor rgb="FF7030A0"/>
    <pageSetUpPr fitToPage="1"/>
  </sheetPr>
  <dimension ref="B1:O47"/>
  <sheetViews>
    <sheetView showGridLines="0" showRowColHeaders="0" topLeftCell="A2" workbookViewId="0">
      <pane ySplit="2" topLeftCell="A4" activePane="bottomLeft" state="frozen"/>
      <selection activeCell="B2" sqref="B2"/>
      <selection pane="bottomLeft"/>
    </sheetView>
  </sheetViews>
  <sheetFormatPr defaultRowHeight="15" customHeight="1" x14ac:dyDescent="0.2"/>
  <cols>
    <col min="1" max="1" width="3.7109375" style="18" customWidth="1"/>
    <col min="2" max="2" width="30.85546875" style="18" customWidth="1"/>
    <col min="3" max="5" width="12.7109375" style="18" customWidth="1"/>
    <col min="6" max="6" width="6.7109375" style="18" customWidth="1"/>
    <col min="7" max="7" width="30.85546875" style="18" customWidth="1"/>
    <col min="8" max="10" width="12.7109375" style="18" customWidth="1"/>
    <col min="11" max="11" width="6.7109375" style="18" customWidth="1"/>
    <col min="12" max="12" width="30.85546875" style="18" customWidth="1"/>
    <col min="13" max="15" width="12.7109375" style="18" customWidth="1"/>
    <col min="16" max="16384" width="9.140625" style="18"/>
  </cols>
  <sheetData>
    <row r="1" spans="2:15" s="19" customFormat="1" ht="15" hidden="1" customHeight="1" x14ac:dyDescent="0.2"/>
    <row r="2" spans="2:15" s="53" customFormat="1" ht="20.100000000000001" customHeight="1" x14ac:dyDescent="0.25">
      <c r="B2" s="107" t="s">
        <v>15</v>
      </c>
      <c r="O2" s="54" t="str">
        <f>'Hire Purchase'!M1</f>
        <v>Client Name</v>
      </c>
    </row>
    <row r="3" spans="2:15" s="55" customFormat="1" ht="20.100000000000001" customHeight="1" x14ac:dyDescent="0.2">
      <c r="B3" s="102" t="str">
        <f>'Hire Purchase'!D2</f>
        <v>Regular Monthly Repayments</v>
      </c>
      <c r="O3" s="56" t="str">
        <f>CONCATENATE("Prepared by ",'Hire Purchase'!M2)</f>
        <v>Prepared by Preparer Name</v>
      </c>
    </row>
    <row r="4" spans="2:15" ht="20.100000000000001" customHeight="1" x14ac:dyDescent="0.2"/>
    <row r="5" spans="2:15" ht="15" customHeight="1" x14ac:dyDescent="0.2">
      <c r="B5" s="73" t="str">
        <f>CONCATENATE("Acquisition Dated ",IF('Hire Purchase'!K10&gt;0,TEXT('Hire Purchase'!K10,"dd/mm/yyyy"),""))</f>
        <v xml:space="preserve">Acquisition Dated </v>
      </c>
      <c r="D5" s="84" t="s">
        <v>38</v>
      </c>
      <c r="E5" s="84" t="s">
        <v>39</v>
      </c>
      <c r="G5" s="52" t="str">
        <f>IF('Hire Purchase'!K10&lt;&gt;"",CONCATENATE("Year Ended 30 June ",IF(MONTH('Hire Purchase'!K10)&lt;=6,YEAR('Hire Purchase'!K10),YEAR('Hire Purchase'!K10)+1)),"")</f>
        <v/>
      </c>
      <c r="H5" s="23" t="s">
        <v>20</v>
      </c>
      <c r="I5" s="24" t="s">
        <v>21</v>
      </c>
      <c r="J5" s="24" t="s">
        <v>22</v>
      </c>
      <c r="L5" s="52" t="str">
        <f>IF('Hire Purchase'!K10&lt;&gt;"",CONCATENATE("Year Ended 30 June ",IF(MONTH('Hire Purchase'!K10)&lt;=6,YEAR('Hire Purchase'!K10)+1,YEAR('Hire Purchase'!K10)+2)),"")</f>
        <v/>
      </c>
      <c r="M5" s="23" t="s">
        <v>20</v>
      </c>
      <c r="N5" s="24" t="s">
        <v>21</v>
      </c>
      <c r="O5" s="24" t="s">
        <v>22</v>
      </c>
    </row>
    <row r="6" spans="2:15" ht="15" customHeight="1" x14ac:dyDescent="0.2">
      <c r="B6" s="201" t="str">
        <f>CONCATENATE("Cost - ",'Hire Purchase'!E7)</f>
        <v xml:space="preserve">Cost - </v>
      </c>
      <c r="C6" s="202"/>
      <c r="D6" s="93"/>
      <c r="E6" s="95"/>
      <c r="G6" s="25" t="s">
        <v>27</v>
      </c>
      <c r="H6" s="26">
        <f>'Hire Purchase'!N6</f>
        <v>0</v>
      </c>
      <c r="I6" s="20"/>
      <c r="J6" s="27">
        <f>H6-I6</f>
        <v>0</v>
      </c>
      <c r="L6" s="25" t="s">
        <v>27</v>
      </c>
      <c r="M6" s="26">
        <f>'Hire Purchase'!N7</f>
        <v>0</v>
      </c>
      <c r="N6" s="20"/>
      <c r="O6" s="27">
        <f>M6-N6</f>
        <v>0</v>
      </c>
    </row>
    <row r="7" spans="2:15" ht="15" customHeight="1" x14ac:dyDescent="0.2">
      <c r="B7" s="203" t="s">
        <v>44</v>
      </c>
      <c r="C7" s="204"/>
      <c r="D7" s="94"/>
      <c r="E7" s="96"/>
      <c r="G7" s="28" t="s">
        <v>16</v>
      </c>
      <c r="H7" s="29">
        <f>IFERROR(-VLOOKUP(EOMONTH(YearEnd,0),HpSchedule,7,FALSE),0)</f>
        <v>0</v>
      </c>
      <c r="I7" s="21"/>
      <c r="J7" s="30">
        <f>H7-I7</f>
        <v>0</v>
      </c>
      <c r="L7" s="28" t="s">
        <v>16</v>
      </c>
      <c r="M7" s="29">
        <f>IFERROR(-VLOOKUP(EOMONTH(YearEnd,12),HpSchedule,7,FALSE),0)</f>
        <v>0</v>
      </c>
      <c r="N7" s="21"/>
      <c r="O7" s="30">
        <f>M7-N7</f>
        <v>0</v>
      </c>
    </row>
    <row r="8" spans="2:15" ht="15" customHeight="1" x14ac:dyDescent="0.2">
      <c r="B8" s="85" t="s">
        <v>2</v>
      </c>
      <c r="C8" s="88" t="s">
        <v>40</v>
      </c>
      <c r="D8" s="94"/>
      <c r="E8" s="97" cm="1">
        <f t="array" ref="E8">IF('Hire Purchase'!K10&gt;0,INDEX('Hire Purchase'!J18:J1048576, MATCH(TRUE, INDEX('Hire Purchase'!J18:J1048576&lt;&gt;0, 0), 0)),0)</f>
        <v>0</v>
      </c>
      <c r="G8" s="28" t="s">
        <v>17</v>
      </c>
      <c r="H8" s="29">
        <f>IFERROR(VLOOKUP(EOMONTH(YearEnd,0),HpSchedule,9,FALSE),0)</f>
        <v>0</v>
      </c>
      <c r="I8" s="21"/>
      <c r="J8" s="30">
        <f t="shared" ref="J8:J13" si="0">H8-I8</f>
        <v>0</v>
      </c>
      <c r="L8" s="28" t="s">
        <v>17</v>
      </c>
      <c r="M8" s="29">
        <f>IFERROR(VLOOKUP(EOMONTH(YearEnd,12),HpSchedule,9,FALSE),0)</f>
        <v>0</v>
      </c>
      <c r="N8" s="21"/>
      <c r="O8" s="30">
        <f t="shared" ref="O8:O13" si="1">M8-N8</f>
        <v>0</v>
      </c>
    </row>
    <row r="9" spans="2:15" ht="15" customHeight="1" x14ac:dyDescent="0.2">
      <c r="B9" s="99"/>
      <c r="C9" s="89" t="s">
        <v>41</v>
      </c>
      <c r="D9" s="94"/>
      <c r="E9" s="97" cm="1">
        <f t="array" ref="E9">IF('Hire Purchase'!K10&gt;0,INDEX('Hire Purchase'!K18:K1048576, MATCH(TRUE, INDEX('Hire Purchase'!K18:K1048576&lt;&gt;0, 0), 0)),0)+IF('Hire Purchase'!E9="On Commencement",'Hire Purchase'!K6,0)</f>
        <v>0</v>
      </c>
      <c r="G9" s="28" t="s">
        <v>18</v>
      </c>
      <c r="H9" s="29">
        <f>IFERROR(-VLOOKUP(EOMONTH(YearEnd,0),HpSchedule,8,FALSE),0)</f>
        <v>0</v>
      </c>
      <c r="I9" s="21"/>
      <c r="J9" s="30">
        <f t="shared" si="0"/>
        <v>0</v>
      </c>
      <c r="L9" s="28" t="s">
        <v>18</v>
      </c>
      <c r="M9" s="29">
        <f>IFERROR(-VLOOKUP(EOMONTH(YearEnd,12),HpSchedule,8,FALSE),0)</f>
        <v>0</v>
      </c>
      <c r="N9" s="21"/>
      <c r="O9" s="30">
        <f t="shared" si="1"/>
        <v>0</v>
      </c>
    </row>
    <row r="10" spans="2:15" ht="15" customHeight="1" x14ac:dyDescent="0.2">
      <c r="B10" s="86" t="s">
        <v>42</v>
      </c>
      <c r="C10" s="88" t="s">
        <v>40</v>
      </c>
      <c r="D10" s="103" cm="1">
        <f t="array" ref="D10">IF('Hire Purchase'!K10&gt;0,INDEX('Hire Purchase'!L18:L1048576, MATCH(TRUE, INDEX('Hire Purchase'!L18:L1048576&lt;&gt;0, 0), 0)),0)</f>
        <v>0</v>
      </c>
      <c r="E10" s="98"/>
      <c r="G10" s="28" t="s">
        <v>19</v>
      </c>
      <c r="H10" s="29">
        <f>IFERROR(VLOOKUP(EOMONTH(YearEnd,0),HpSchedule,10,FALSE),0)</f>
        <v>0</v>
      </c>
      <c r="I10" s="21"/>
      <c r="J10" s="30">
        <f t="shared" si="0"/>
        <v>0</v>
      </c>
      <c r="L10" s="28" t="s">
        <v>19</v>
      </c>
      <c r="M10" s="29">
        <f>IFERROR(VLOOKUP(EOMONTH(YearEnd,12),HpSchedule,10,FALSE),0)</f>
        <v>0</v>
      </c>
      <c r="N10" s="21"/>
      <c r="O10" s="30">
        <f t="shared" si="1"/>
        <v>0</v>
      </c>
    </row>
    <row r="11" spans="2:15" ht="15" customHeight="1" x14ac:dyDescent="0.2">
      <c r="B11" s="99"/>
      <c r="C11" s="90" t="s">
        <v>41</v>
      </c>
      <c r="D11" s="103" cm="1">
        <f t="array" ref="D11">IF('Hire Purchase'!K10&gt;0,INDEX('Hire Purchase'!M18:M1048576, MATCH(TRUE, INDEX('Hire Purchase'!M18:M1048576&lt;&gt;0, 0), 0)),0)</f>
        <v>0</v>
      </c>
      <c r="E11" s="98"/>
      <c r="G11" s="31" t="s">
        <v>23</v>
      </c>
      <c r="H11" s="32">
        <f>'Hire Purchase'!O6</f>
        <v>0</v>
      </c>
      <c r="I11" s="22"/>
      <c r="J11" s="33">
        <f t="shared" si="0"/>
        <v>0</v>
      </c>
      <c r="L11" s="31" t="s">
        <v>23</v>
      </c>
      <c r="M11" s="32">
        <f>'Hire Purchase'!O7</f>
        <v>0</v>
      </c>
      <c r="N11" s="22"/>
      <c r="O11" s="33">
        <f t="shared" si="1"/>
        <v>0</v>
      </c>
    </row>
    <row r="12" spans="2:15" ht="15" customHeight="1" x14ac:dyDescent="0.2">
      <c r="B12" s="201" t="s">
        <v>34</v>
      </c>
      <c r="C12" s="202"/>
      <c r="D12" s="94"/>
      <c r="E12" s="97">
        <f>'Hire Purchase'!O14</f>
        <v>0</v>
      </c>
      <c r="G12" s="31" t="s">
        <v>24</v>
      </c>
      <c r="H12" s="32">
        <f>'Hire Purchase'!$K$9</f>
        <v>0</v>
      </c>
      <c r="I12" s="22"/>
      <c r="J12" s="33">
        <f t="shared" si="0"/>
        <v>0</v>
      </c>
      <c r="L12" s="31" t="s">
        <v>24</v>
      </c>
      <c r="M12" s="32">
        <f>'Hire Purchase'!$K$9</f>
        <v>0</v>
      </c>
      <c r="N12" s="22"/>
      <c r="O12" s="33">
        <f t="shared" si="1"/>
        <v>0</v>
      </c>
    </row>
    <row r="13" spans="2:15" ht="15" customHeight="1" x14ac:dyDescent="0.2">
      <c r="B13" s="205" t="s">
        <v>43</v>
      </c>
      <c r="C13" s="206"/>
      <c r="D13" s="104">
        <f>E12</f>
        <v>0</v>
      </c>
      <c r="E13" s="100"/>
      <c r="G13" s="34" t="s">
        <v>25</v>
      </c>
      <c r="H13" s="32">
        <f>-H11</f>
        <v>0</v>
      </c>
      <c r="I13" s="22"/>
      <c r="J13" s="33">
        <f t="shared" si="0"/>
        <v>0</v>
      </c>
      <c r="L13" s="31" t="s">
        <v>25</v>
      </c>
      <c r="M13" s="32">
        <f>H13-M11</f>
        <v>0</v>
      </c>
      <c r="N13" s="22"/>
      <c r="O13" s="33">
        <f t="shared" si="1"/>
        <v>0</v>
      </c>
    </row>
    <row r="14" spans="2:15" ht="15" customHeight="1" x14ac:dyDescent="0.2">
      <c r="D14" s="91">
        <f>ROUND(SUM(D6:D13),2)</f>
        <v>0</v>
      </c>
      <c r="E14" s="92">
        <f>ROUND(SUM(E6:E13),2)</f>
        <v>0</v>
      </c>
      <c r="G14" s="198" t="s">
        <v>29</v>
      </c>
      <c r="H14" s="199"/>
      <c r="I14" s="200"/>
      <c r="J14" s="35">
        <f t="shared" ref="J14" si="2">SUM(J6:J13)</f>
        <v>0</v>
      </c>
      <c r="L14" s="198" t="s">
        <v>29</v>
      </c>
      <c r="M14" s="199"/>
      <c r="N14" s="200"/>
      <c r="O14" s="35">
        <f t="shared" ref="O14" si="3">SUM(O6:O13)</f>
        <v>0</v>
      </c>
    </row>
    <row r="15" spans="2:15" ht="15" customHeight="1" x14ac:dyDescent="0.2">
      <c r="C15" s="87"/>
      <c r="D15" s="105" t="str">
        <f>IF(D14&lt;&gt;E14,"Out of balance","")</f>
        <v/>
      </c>
      <c r="E15" s="106" t="str">
        <f>IF(D14&lt;&gt;E14,D14-E14,"")</f>
        <v/>
      </c>
      <c r="J15" s="101"/>
      <c r="O15" s="101"/>
    </row>
    <row r="16" spans="2:15" ht="15" customHeight="1" x14ac:dyDescent="0.2">
      <c r="J16" s="101"/>
      <c r="O16" s="101"/>
    </row>
    <row r="17" spans="2:15" ht="15" customHeight="1" x14ac:dyDescent="0.2">
      <c r="E17" s="101"/>
      <c r="J17" s="101"/>
      <c r="O17" s="101"/>
    </row>
    <row r="19" spans="2:15" ht="15" customHeight="1" x14ac:dyDescent="0.2">
      <c r="B19" s="52" t="str">
        <f>IF('Hire Purchase'!K10&lt;&gt;"",CONCATENATE("Year Ended 30 June ",IF(MONTH('Hire Purchase'!K10)&lt;=6,YEAR('Hire Purchase'!K10)+2,YEAR('Hire Purchase'!K10)+3)),"")</f>
        <v/>
      </c>
      <c r="C19" s="23" t="s">
        <v>20</v>
      </c>
      <c r="D19" s="24" t="s">
        <v>21</v>
      </c>
      <c r="E19" s="24" t="s">
        <v>22</v>
      </c>
      <c r="G19" s="52" t="str">
        <f>IF('Hire Purchase'!K10&lt;&gt;"",CONCATENATE("Year Ended 30 June ",IF(MONTH('Hire Purchase'!K10)&lt;=6,YEAR('Hire Purchase'!K10)+3,YEAR('Hire Purchase'!K10)+4)),"")</f>
        <v/>
      </c>
      <c r="H19" s="23" t="s">
        <v>20</v>
      </c>
      <c r="I19" s="24" t="s">
        <v>21</v>
      </c>
      <c r="J19" s="24" t="s">
        <v>22</v>
      </c>
      <c r="L19" s="52" t="str">
        <f>IF('Hire Purchase'!K10&lt;&gt;"",CONCATENATE("Year Ended 30 June ",IF(MONTH('Hire Purchase'!K10)&lt;=6,YEAR('Hire Purchase'!K10)+4,YEAR('Hire Purchase'!K10)+5)),"")</f>
        <v/>
      </c>
      <c r="M19" s="23" t="s">
        <v>20</v>
      </c>
      <c r="N19" s="24" t="s">
        <v>21</v>
      </c>
      <c r="O19" s="24" t="s">
        <v>22</v>
      </c>
    </row>
    <row r="20" spans="2:15" ht="15" customHeight="1" x14ac:dyDescent="0.2">
      <c r="B20" s="25" t="s">
        <v>27</v>
      </c>
      <c r="C20" s="26">
        <f>'Hire Purchase'!N8</f>
        <v>0</v>
      </c>
      <c r="D20" s="20"/>
      <c r="E20" s="27">
        <f>C20-D20</f>
        <v>0</v>
      </c>
      <c r="G20" s="25" t="s">
        <v>27</v>
      </c>
      <c r="H20" s="26">
        <f>'Hire Purchase'!N9</f>
        <v>0</v>
      </c>
      <c r="I20" s="20"/>
      <c r="J20" s="27">
        <f>H20-I20</f>
        <v>0</v>
      </c>
      <c r="L20" s="25" t="s">
        <v>27</v>
      </c>
      <c r="M20" s="26">
        <f>'Hire Purchase'!N10</f>
        <v>0</v>
      </c>
      <c r="N20" s="20"/>
      <c r="O20" s="27">
        <f>M20-N20</f>
        <v>0</v>
      </c>
    </row>
    <row r="21" spans="2:15" ht="15" customHeight="1" x14ac:dyDescent="0.2">
      <c r="B21" s="28" t="s">
        <v>16</v>
      </c>
      <c r="C21" s="29">
        <f>IFERROR(-VLOOKUP(EOMONTH(YearEnd,24),HpSchedule,7,FALSE),0)</f>
        <v>0</v>
      </c>
      <c r="D21" s="21"/>
      <c r="E21" s="30">
        <f>C21-D21</f>
        <v>0</v>
      </c>
      <c r="G21" s="28" t="s">
        <v>16</v>
      </c>
      <c r="H21" s="29">
        <f>IFERROR(-VLOOKUP(EOMONTH(YearEnd,36),HpSchedule,7,FALSE),0)</f>
        <v>0</v>
      </c>
      <c r="I21" s="21"/>
      <c r="J21" s="30">
        <f>H21-I21</f>
        <v>0</v>
      </c>
      <c r="L21" s="28" t="s">
        <v>16</v>
      </c>
      <c r="M21" s="29">
        <f>IFERROR(-VLOOKUP(EOMONTH(YearEnd,48),HpSchedule,7,FALSE),0)</f>
        <v>0</v>
      </c>
      <c r="N21" s="21"/>
      <c r="O21" s="30">
        <f>M21-N21</f>
        <v>0</v>
      </c>
    </row>
    <row r="22" spans="2:15" ht="15" customHeight="1" x14ac:dyDescent="0.2">
      <c r="B22" s="28" t="s">
        <v>17</v>
      </c>
      <c r="C22" s="29">
        <f>IFERROR(VLOOKUP(EOMONTH(YearEnd,24),HpSchedule,9,FALSE),0)</f>
        <v>0</v>
      </c>
      <c r="D22" s="21"/>
      <c r="E22" s="30">
        <f t="shared" ref="E22:E27" si="4">C22-D22</f>
        <v>0</v>
      </c>
      <c r="G22" s="28" t="s">
        <v>17</v>
      </c>
      <c r="H22" s="29">
        <f>IFERROR(VLOOKUP(EOMONTH(YearEnd,36),HpSchedule,9,FALSE),0)</f>
        <v>0</v>
      </c>
      <c r="I22" s="21"/>
      <c r="J22" s="30">
        <f t="shared" ref="J22:J27" si="5">H22-I22</f>
        <v>0</v>
      </c>
      <c r="L22" s="28" t="s">
        <v>17</v>
      </c>
      <c r="M22" s="29">
        <f>IFERROR(VLOOKUP(EOMONTH(YearEnd,48),HpSchedule,9,FALSE),0)</f>
        <v>0</v>
      </c>
      <c r="N22" s="21"/>
      <c r="O22" s="30">
        <f t="shared" ref="O22:O27" si="6">M22-N22</f>
        <v>0</v>
      </c>
    </row>
    <row r="23" spans="2:15" ht="15" customHeight="1" x14ac:dyDescent="0.2">
      <c r="B23" s="28" t="s">
        <v>18</v>
      </c>
      <c r="C23" s="29">
        <f>IFERROR(-VLOOKUP(EOMONTH(YearEnd,24),HpSchedule,8,FALSE),0)</f>
        <v>0</v>
      </c>
      <c r="D23" s="21"/>
      <c r="E23" s="30">
        <f t="shared" si="4"/>
        <v>0</v>
      </c>
      <c r="G23" s="28" t="s">
        <v>18</v>
      </c>
      <c r="H23" s="29">
        <f>IFERROR(-VLOOKUP(EOMONTH(YearEnd,36),HpSchedule,8,FALSE),0)</f>
        <v>0</v>
      </c>
      <c r="I23" s="21"/>
      <c r="J23" s="30">
        <f t="shared" si="5"/>
        <v>0</v>
      </c>
      <c r="L23" s="28" t="s">
        <v>18</v>
      </c>
      <c r="M23" s="29">
        <f>IFERROR(-VLOOKUP(EOMONTH(YearEnd,48),HpSchedule,8,FALSE),0)</f>
        <v>0</v>
      </c>
      <c r="N23" s="21"/>
      <c r="O23" s="30">
        <f t="shared" si="6"/>
        <v>0</v>
      </c>
    </row>
    <row r="24" spans="2:15" ht="15" customHeight="1" x14ac:dyDescent="0.2">
      <c r="B24" s="28" t="s">
        <v>19</v>
      </c>
      <c r="C24" s="29">
        <f>IFERROR(VLOOKUP(EOMONTH(YearEnd,24),HpSchedule,10,FALSE),0)</f>
        <v>0</v>
      </c>
      <c r="D24" s="21"/>
      <c r="E24" s="30">
        <f t="shared" si="4"/>
        <v>0</v>
      </c>
      <c r="G24" s="28" t="s">
        <v>19</v>
      </c>
      <c r="H24" s="29">
        <f>IFERROR(VLOOKUP(EOMONTH(YearEnd,36),HpSchedule,10,FALSE),0)</f>
        <v>0</v>
      </c>
      <c r="I24" s="21"/>
      <c r="J24" s="30">
        <f t="shared" si="5"/>
        <v>0</v>
      </c>
      <c r="L24" s="28" t="s">
        <v>19</v>
      </c>
      <c r="M24" s="29">
        <f>IFERROR(VLOOKUP(EOMONTH(YearEnd,48),HpSchedule,10,FALSE),0)</f>
        <v>0</v>
      </c>
      <c r="N24" s="21"/>
      <c r="O24" s="30">
        <f t="shared" si="6"/>
        <v>0</v>
      </c>
    </row>
    <row r="25" spans="2:15" ht="15" customHeight="1" x14ac:dyDescent="0.2">
      <c r="B25" s="31" t="s">
        <v>23</v>
      </c>
      <c r="C25" s="32">
        <f>'Hire Purchase'!O8</f>
        <v>0</v>
      </c>
      <c r="D25" s="22"/>
      <c r="E25" s="33">
        <f t="shared" si="4"/>
        <v>0</v>
      </c>
      <c r="G25" s="31" t="s">
        <v>23</v>
      </c>
      <c r="H25" s="32">
        <f>'Hire Purchase'!O9</f>
        <v>0</v>
      </c>
      <c r="I25" s="22"/>
      <c r="J25" s="33">
        <f t="shared" si="5"/>
        <v>0</v>
      </c>
      <c r="L25" s="31" t="s">
        <v>23</v>
      </c>
      <c r="M25" s="32">
        <f>'Hire Purchase'!O10</f>
        <v>0</v>
      </c>
      <c r="N25" s="22"/>
      <c r="O25" s="33">
        <f t="shared" si="6"/>
        <v>0</v>
      </c>
    </row>
    <row r="26" spans="2:15" ht="15" customHeight="1" x14ac:dyDescent="0.2">
      <c r="B26" s="31" t="s">
        <v>24</v>
      </c>
      <c r="C26" s="32">
        <f>'Hire Purchase'!$K$9</f>
        <v>0</v>
      </c>
      <c r="D26" s="22"/>
      <c r="E26" s="33">
        <f t="shared" si="4"/>
        <v>0</v>
      </c>
      <c r="G26" s="31" t="s">
        <v>24</v>
      </c>
      <c r="H26" s="32">
        <f>'Hire Purchase'!$K$9</f>
        <v>0</v>
      </c>
      <c r="I26" s="22"/>
      <c r="J26" s="33">
        <f t="shared" si="5"/>
        <v>0</v>
      </c>
      <c r="L26" s="31" t="s">
        <v>24</v>
      </c>
      <c r="M26" s="32">
        <f>'Hire Purchase'!$K$9</f>
        <v>0</v>
      </c>
      <c r="N26" s="22"/>
      <c r="O26" s="33">
        <f t="shared" si="6"/>
        <v>0</v>
      </c>
    </row>
    <row r="27" spans="2:15" ht="15" customHeight="1" x14ac:dyDescent="0.2">
      <c r="B27" s="31" t="s">
        <v>25</v>
      </c>
      <c r="C27" s="32">
        <f>M13-C25</f>
        <v>0</v>
      </c>
      <c r="D27" s="22"/>
      <c r="E27" s="33">
        <f t="shared" si="4"/>
        <v>0</v>
      </c>
      <c r="G27" s="31" t="s">
        <v>25</v>
      </c>
      <c r="H27" s="32">
        <f>C27-H25</f>
        <v>0</v>
      </c>
      <c r="I27" s="22"/>
      <c r="J27" s="33">
        <f t="shared" si="5"/>
        <v>0</v>
      </c>
      <c r="L27" s="31" t="s">
        <v>25</v>
      </c>
      <c r="M27" s="32">
        <f>H27-M25</f>
        <v>0</v>
      </c>
      <c r="N27" s="22"/>
      <c r="O27" s="33">
        <f t="shared" si="6"/>
        <v>0</v>
      </c>
    </row>
    <row r="28" spans="2:15" ht="15" customHeight="1" x14ac:dyDescent="0.2">
      <c r="B28" s="198" t="s">
        <v>29</v>
      </c>
      <c r="C28" s="199"/>
      <c r="D28" s="200"/>
      <c r="E28" s="35">
        <f t="shared" ref="E28" si="7">SUM(E20:E27)</f>
        <v>0</v>
      </c>
      <c r="G28" s="198" t="s">
        <v>29</v>
      </c>
      <c r="H28" s="199"/>
      <c r="I28" s="200"/>
      <c r="J28" s="35">
        <f t="shared" ref="J28" si="8">SUM(J20:J27)</f>
        <v>0</v>
      </c>
      <c r="L28" s="198" t="s">
        <v>29</v>
      </c>
      <c r="M28" s="199"/>
      <c r="N28" s="200"/>
      <c r="O28" s="35">
        <f t="shared" ref="O28" si="9">SUM(O20:O27)</f>
        <v>0</v>
      </c>
    </row>
    <row r="29" spans="2:15" ht="15" customHeight="1" x14ac:dyDescent="0.2">
      <c r="E29" s="101"/>
      <c r="J29" s="101"/>
      <c r="O29" s="101"/>
    </row>
    <row r="30" spans="2:15" ht="15" customHeight="1" x14ac:dyDescent="0.2">
      <c r="E30" s="101"/>
      <c r="J30" s="101"/>
      <c r="O30" s="101"/>
    </row>
    <row r="32" spans="2:15" ht="15" customHeight="1" x14ac:dyDescent="0.2">
      <c r="B32" s="52" t="str">
        <f>IF('Hire Purchase'!K10&lt;&gt;"",CONCATENATE("Year Ended 30 June ",IF(MONTH('Hire Purchase'!K10)&lt;=6,YEAR('Hire Purchase'!K10)+5,YEAR('Hire Purchase'!K10)+6)),"")</f>
        <v/>
      </c>
      <c r="C32" s="23" t="s">
        <v>20</v>
      </c>
      <c r="D32" s="24" t="s">
        <v>21</v>
      </c>
      <c r="E32" s="24" t="s">
        <v>22</v>
      </c>
      <c r="G32" s="52" t="str">
        <f>IF('Hire Purchase'!K10&lt;&gt;"",CONCATENATE("Year Ended 30 June ",IF(MONTH('Hire Purchase'!K10)&lt;=6,YEAR('Hire Purchase'!K10)+6,YEAR('Hire Purchase'!K10)+7)),"")</f>
        <v/>
      </c>
      <c r="H32" s="23" t="s">
        <v>20</v>
      </c>
      <c r="I32" s="24" t="s">
        <v>21</v>
      </c>
      <c r="J32" s="24" t="s">
        <v>22</v>
      </c>
      <c r="L32" s="52" t="str">
        <f>IF('Hire Purchase'!K10&lt;&gt;"",CONCATENATE("Year Ended 30 June ",IF(MONTH('Hire Purchase'!K10)&lt;=6,YEAR('Hire Purchase'!K10)+7,YEAR('Hire Purchase'!K10)+8)),"")</f>
        <v/>
      </c>
      <c r="M32" s="23" t="s">
        <v>20</v>
      </c>
      <c r="N32" s="24" t="s">
        <v>21</v>
      </c>
      <c r="O32" s="24" t="s">
        <v>22</v>
      </c>
    </row>
    <row r="33" spans="2:15" ht="15" customHeight="1" x14ac:dyDescent="0.2">
      <c r="B33" s="25" t="s">
        <v>27</v>
      </c>
      <c r="C33" s="26">
        <f>'Hire Purchase'!N11</f>
        <v>0</v>
      </c>
      <c r="D33" s="20"/>
      <c r="E33" s="27">
        <f>C33-D33</f>
        <v>0</v>
      </c>
      <c r="G33" s="25" t="s">
        <v>27</v>
      </c>
      <c r="H33" s="26">
        <f>'Hire Purchase'!N12</f>
        <v>0</v>
      </c>
      <c r="I33" s="20"/>
      <c r="J33" s="27">
        <f>H33-I33</f>
        <v>0</v>
      </c>
      <c r="L33" s="25" t="s">
        <v>27</v>
      </c>
      <c r="M33" s="26">
        <f>'Hire Purchase'!N13</f>
        <v>0</v>
      </c>
      <c r="N33" s="20"/>
      <c r="O33" s="27">
        <f>M33-N33</f>
        <v>0</v>
      </c>
    </row>
    <row r="34" spans="2:15" ht="15" customHeight="1" x14ac:dyDescent="0.2">
      <c r="B34" s="28" t="s">
        <v>16</v>
      </c>
      <c r="C34" s="29">
        <f>IFERROR(-VLOOKUP(EOMONTH(YearEnd,60),HpSchedule,7,FALSE),0)</f>
        <v>0</v>
      </c>
      <c r="D34" s="21"/>
      <c r="E34" s="30">
        <f>C34-D34</f>
        <v>0</v>
      </c>
      <c r="G34" s="28" t="s">
        <v>16</v>
      </c>
      <c r="H34" s="29">
        <f>IFERROR(-VLOOKUP(EOMONTH(YearEnd,72),HpSchedule,7,FALSE),0)</f>
        <v>0</v>
      </c>
      <c r="I34" s="21"/>
      <c r="J34" s="30">
        <f>H34-I34</f>
        <v>0</v>
      </c>
      <c r="L34" s="28" t="s">
        <v>16</v>
      </c>
      <c r="M34" s="29">
        <f>IFERROR(-VLOOKUP(EOMONTH(YearEnd,84),HpSchedule,7,FALSE),0)</f>
        <v>0</v>
      </c>
      <c r="N34" s="21"/>
      <c r="O34" s="30">
        <f>M34-N34</f>
        <v>0</v>
      </c>
    </row>
    <row r="35" spans="2:15" ht="15" customHeight="1" x14ac:dyDescent="0.2">
      <c r="B35" s="28" t="s">
        <v>17</v>
      </c>
      <c r="C35" s="29">
        <f>IFERROR(VLOOKUP(EOMONTH(YearEnd,60),HpSchedule,9,FALSE),0)</f>
        <v>0</v>
      </c>
      <c r="D35" s="21"/>
      <c r="E35" s="30">
        <f t="shared" ref="E35:E40" si="10">C35-D35</f>
        <v>0</v>
      </c>
      <c r="G35" s="28" t="s">
        <v>17</v>
      </c>
      <c r="H35" s="29">
        <f>IFERROR(VLOOKUP(EOMONTH(YearEnd,72),HpSchedule,9,FALSE),0)</f>
        <v>0</v>
      </c>
      <c r="I35" s="21"/>
      <c r="J35" s="30">
        <f t="shared" ref="J35:J40" si="11">H35-I35</f>
        <v>0</v>
      </c>
      <c r="L35" s="28" t="s">
        <v>17</v>
      </c>
      <c r="M35" s="29">
        <f>IFERROR(VLOOKUP(EOMONTH(YearEnd,84),HpSchedule,9,FALSE),0)</f>
        <v>0</v>
      </c>
      <c r="N35" s="21"/>
      <c r="O35" s="30">
        <f t="shared" ref="O35:O40" si="12">M35-N35</f>
        <v>0</v>
      </c>
    </row>
    <row r="36" spans="2:15" ht="15" customHeight="1" x14ac:dyDescent="0.2">
      <c r="B36" s="28" t="s">
        <v>18</v>
      </c>
      <c r="C36" s="29">
        <f>IFERROR(-VLOOKUP(EOMONTH(YearEnd,60),HpSchedule,8,FALSE),0)</f>
        <v>0</v>
      </c>
      <c r="D36" s="21"/>
      <c r="E36" s="30">
        <f t="shared" si="10"/>
        <v>0</v>
      </c>
      <c r="G36" s="28" t="s">
        <v>18</v>
      </c>
      <c r="H36" s="29">
        <f>IFERROR(-VLOOKUP(EOMONTH(YearEnd,72),HpSchedule,8,FALSE),0)</f>
        <v>0</v>
      </c>
      <c r="I36" s="21"/>
      <c r="J36" s="30">
        <f t="shared" si="11"/>
        <v>0</v>
      </c>
      <c r="L36" s="28" t="s">
        <v>18</v>
      </c>
      <c r="M36" s="29">
        <f>IFERROR(-VLOOKUP(EOMONTH(YearEnd,84),HpSchedule,8,FALSE),0)</f>
        <v>0</v>
      </c>
      <c r="N36" s="21"/>
      <c r="O36" s="30">
        <f t="shared" si="12"/>
        <v>0</v>
      </c>
    </row>
    <row r="37" spans="2:15" ht="15" customHeight="1" x14ac:dyDescent="0.2">
      <c r="B37" s="28" t="s">
        <v>19</v>
      </c>
      <c r="C37" s="29">
        <f>IFERROR(VLOOKUP(EOMONTH(YearEnd,60),HpSchedule,10,FALSE),0)</f>
        <v>0</v>
      </c>
      <c r="D37" s="21"/>
      <c r="E37" s="30">
        <f t="shared" si="10"/>
        <v>0</v>
      </c>
      <c r="G37" s="28" t="s">
        <v>19</v>
      </c>
      <c r="H37" s="29">
        <f>IFERROR(VLOOKUP(EOMONTH(YearEnd,72),HpSchedule,10,FALSE),0)</f>
        <v>0</v>
      </c>
      <c r="I37" s="21"/>
      <c r="J37" s="30">
        <f t="shared" si="11"/>
        <v>0</v>
      </c>
      <c r="L37" s="28" t="s">
        <v>19</v>
      </c>
      <c r="M37" s="29">
        <f>IFERROR(VLOOKUP(EOMONTH(YearEnd,84),HpSchedule,10,FALSE),0)</f>
        <v>0</v>
      </c>
      <c r="N37" s="21"/>
      <c r="O37" s="30">
        <f t="shared" si="12"/>
        <v>0</v>
      </c>
    </row>
    <row r="38" spans="2:15" ht="15" customHeight="1" x14ac:dyDescent="0.2">
      <c r="B38" s="31" t="s">
        <v>23</v>
      </c>
      <c r="C38" s="32">
        <f>'Hire Purchase'!O11</f>
        <v>0</v>
      </c>
      <c r="D38" s="22"/>
      <c r="E38" s="33">
        <f t="shared" si="10"/>
        <v>0</v>
      </c>
      <c r="G38" s="31" t="s">
        <v>23</v>
      </c>
      <c r="H38" s="32">
        <f>'Hire Purchase'!O12</f>
        <v>0</v>
      </c>
      <c r="I38" s="22"/>
      <c r="J38" s="33">
        <f t="shared" si="11"/>
        <v>0</v>
      </c>
      <c r="L38" s="31" t="s">
        <v>23</v>
      </c>
      <c r="M38" s="32">
        <f>'Hire Purchase'!O13</f>
        <v>0</v>
      </c>
      <c r="N38" s="22"/>
      <c r="O38" s="33">
        <f t="shared" si="12"/>
        <v>0</v>
      </c>
    </row>
    <row r="39" spans="2:15" ht="15" customHeight="1" x14ac:dyDescent="0.2">
      <c r="B39" s="31" t="s">
        <v>24</v>
      </c>
      <c r="C39" s="32">
        <f>'Hire Purchase'!$K$9</f>
        <v>0</v>
      </c>
      <c r="D39" s="22"/>
      <c r="E39" s="33">
        <f t="shared" si="10"/>
        <v>0</v>
      </c>
      <c r="G39" s="31" t="s">
        <v>24</v>
      </c>
      <c r="H39" s="32">
        <f>'Hire Purchase'!$K$9</f>
        <v>0</v>
      </c>
      <c r="I39" s="22"/>
      <c r="J39" s="33">
        <f t="shared" si="11"/>
        <v>0</v>
      </c>
      <c r="L39" s="31" t="s">
        <v>24</v>
      </c>
      <c r="M39" s="32">
        <f>'Hire Purchase'!$K$9</f>
        <v>0</v>
      </c>
      <c r="N39" s="22"/>
      <c r="O39" s="33">
        <f t="shared" si="12"/>
        <v>0</v>
      </c>
    </row>
    <row r="40" spans="2:15" ht="15" customHeight="1" x14ac:dyDescent="0.2">
      <c r="B40" s="31" t="s">
        <v>25</v>
      </c>
      <c r="C40" s="32">
        <f>M27-C38</f>
        <v>0</v>
      </c>
      <c r="D40" s="22"/>
      <c r="E40" s="33">
        <f t="shared" si="10"/>
        <v>0</v>
      </c>
      <c r="G40" s="31" t="s">
        <v>25</v>
      </c>
      <c r="H40" s="32">
        <f>C40-H38</f>
        <v>0</v>
      </c>
      <c r="I40" s="22"/>
      <c r="J40" s="33">
        <f t="shared" si="11"/>
        <v>0</v>
      </c>
      <c r="L40" s="31" t="s">
        <v>25</v>
      </c>
      <c r="M40" s="32">
        <f>H40-M38</f>
        <v>0</v>
      </c>
      <c r="N40" s="22"/>
      <c r="O40" s="33">
        <f t="shared" si="12"/>
        <v>0</v>
      </c>
    </row>
    <row r="41" spans="2:15" ht="15" customHeight="1" x14ac:dyDescent="0.2">
      <c r="B41" s="198" t="s">
        <v>29</v>
      </c>
      <c r="C41" s="199"/>
      <c r="D41" s="200"/>
      <c r="E41" s="35">
        <f t="shared" ref="E41" si="13">SUM(E33:E40)</f>
        <v>0</v>
      </c>
      <c r="G41" s="198" t="s">
        <v>29</v>
      </c>
      <c r="H41" s="199"/>
      <c r="I41" s="200"/>
      <c r="J41" s="35">
        <f t="shared" ref="J41" si="14">SUM(J33:J40)</f>
        <v>0</v>
      </c>
      <c r="L41" s="198" t="s">
        <v>29</v>
      </c>
      <c r="M41" s="199"/>
      <c r="N41" s="200"/>
      <c r="O41" s="35">
        <f t="shared" ref="O41" si="15">SUM(O33:O40)</f>
        <v>0</v>
      </c>
    </row>
    <row r="42" spans="2:15" ht="15" customHeight="1" x14ac:dyDescent="0.2">
      <c r="E42" s="101"/>
      <c r="J42" s="101"/>
      <c r="O42" s="101"/>
    </row>
    <row r="43" spans="2:15" ht="15" customHeight="1" x14ac:dyDescent="0.2">
      <c r="E43" s="101"/>
      <c r="J43" s="101"/>
      <c r="O43" s="101"/>
    </row>
    <row r="45" spans="2:15" ht="15" customHeight="1" x14ac:dyDescent="0.2">
      <c r="B45" s="65" t="s">
        <v>37</v>
      </c>
      <c r="C45" s="66" t="s">
        <v>20</v>
      </c>
      <c r="D45" s="67" t="s">
        <v>31</v>
      </c>
      <c r="E45" s="67" t="s">
        <v>32</v>
      </c>
    </row>
    <row r="46" spans="2:15" ht="15" customHeight="1" x14ac:dyDescent="0.2">
      <c r="B46" s="25" t="s">
        <v>33</v>
      </c>
      <c r="C46" s="26">
        <f>'Hire Purchase'!F108</f>
        <v>0</v>
      </c>
      <c r="D46" s="26">
        <f>H6+M6+C20+H20+M20+C33+H33+M33</f>
        <v>0</v>
      </c>
      <c r="E46" s="27">
        <f>C46-D46</f>
        <v>0</v>
      </c>
    </row>
    <row r="47" spans="2:15" ht="15" customHeight="1" x14ac:dyDescent="0.2">
      <c r="B47" s="34" t="s">
        <v>34</v>
      </c>
      <c r="C47" s="68">
        <f>'Hire Purchase'!N108</f>
        <v>0</v>
      </c>
      <c r="D47" s="68">
        <f>H11+M11+C25+H25+M25+C38+H38+M38</f>
        <v>0</v>
      </c>
      <c r="E47" s="69">
        <f>C47-D47</f>
        <v>0</v>
      </c>
    </row>
  </sheetData>
  <sheetProtection algorithmName="SHA-512" hashValue="VzG9CqLfWVLzio8CIFI9jsZCpHOskSLOEMkxMPNmT9HictEPlChF0GY3zXU7pq/YRuRvOvlmUUHtpPTB853O9A==" saltValue="91sZ03x/LGqnjOZmeHY7ow==" spinCount="100000" sheet="1" objects="1" scenarios="1" formatCells="0" insertHyperlinks="0" sort="0" autoFilter="0"/>
  <mergeCells count="12">
    <mergeCell ref="B41:D41"/>
    <mergeCell ref="B6:C6"/>
    <mergeCell ref="B28:D28"/>
    <mergeCell ref="B7:C7"/>
    <mergeCell ref="L14:N14"/>
    <mergeCell ref="L28:N28"/>
    <mergeCell ref="L41:N41"/>
    <mergeCell ref="G41:I41"/>
    <mergeCell ref="G14:I14"/>
    <mergeCell ref="G28:I28"/>
    <mergeCell ref="B12:C12"/>
    <mergeCell ref="B13:C13"/>
  </mergeCells>
  <conditionalFormatting sqref="B29:D30 L29:L30 G29:I30 B42:D43 G42:I43 L42:L43 G14:I17 L15:L17 B17:D17">
    <cfRule type="containsText" dxfId="8" priority="10" operator="containsText" text="Describe where to post any unreconciled balance">
      <formula>NOT(ISERROR(SEARCH("Describe where to post any unreconciled balance",B14)))</formula>
    </cfRule>
  </conditionalFormatting>
  <conditionalFormatting sqref="L14">
    <cfRule type="containsText" dxfId="7" priority="9" operator="containsText" text="Describe where to post any unreconciled balance">
      <formula>NOT(ISERROR(SEARCH("Describe where to post any unreconciled balance",L14)))</formula>
    </cfRule>
  </conditionalFormatting>
  <conditionalFormatting sqref="B28:D28">
    <cfRule type="containsText" dxfId="6" priority="8" operator="containsText" text="Describe where to post any unreconciled balance">
      <formula>NOT(ISERROR(SEARCH("Describe where to post any unreconciled balance",B28)))</formula>
    </cfRule>
  </conditionalFormatting>
  <conditionalFormatting sqref="B41:D41">
    <cfRule type="containsText" dxfId="5" priority="7" operator="containsText" text="Describe where to post any unreconciled balance">
      <formula>NOT(ISERROR(SEARCH("Describe where to post any unreconciled balance",B41)))</formula>
    </cfRule>
  </conditionalFormatting>
  <conditionalFormatting sqref="L28">
    <cfRule type="containsText" dxfId="4" priority="6" operator="containsText" text="Describe where to post any unreconciled balance">
      <formula>NOT(ISERROR(SEARCH("Describe where to post any unreconciled balance",L28)))</formula>
    </cfRule>
  </conditionalFormatting>
  <conditionalFormatting sqref="G28:I28">
    <cfRule type="containsText" dxfId="3" priority="5" operator="containsText" text="Describe where to post any unreconciled balance">
      <formula>NOT(ISERROR(SEARCH("Describe where to post any unreconciled balance",G28)))</formula>
    </cfRule>
  </conditionalFormatting>
  <conditionalFormatting sqref="G41:I41">
    <cfRule type="containsText" dxfId="2" priority="4" operator="containsText" text="Describe where to post any unreconciled balance">
      <formula>NOT(ISERROR(SEARCH("Describe where to post any unreconciled balance",G41)))</formula>
    </cfRule>
  </conditionalFormatting>
  <conditionalFormatting sqref="L41">
    <cfRule type="containsText" dxfId="1" priority="3" operator="containsText" text="Describe where to post any unreconciled balance">
      <formula>NOT(ISERROR(SEARCH("Describe where to post any unreconciled balance",L41)))</formula>
    </cfRule>
  </conditionalFormatting>
  <conditionalFormatting sqref="B7:C7">
    <cfRule type="containsText" dxfId="0" priority="1" operator="containsText" text="Deposit amount and source   (if applicable)">
      <formula>NOT(ISERROR(SEARCH("Deposit amount and source   (if applicable)",B7)))</formula>
    </cfRule>
  </conditionalFormatting>
  <dataValidations count="1">
    <dataValidation allowBlank="1" showInputMessage="1" showErrorMessage="1" promptTitle="Unreconciled Balance" prompt="This journal balance should be zero.  Where applicable, enter a description here on how to deal with any unreconciled balance." sqref="G28:I30 L28:L30 B28:D30 G41:I43 B41:D43 L41:L43 G14:I17 L14:L17" xr:uid="{426E9A1B-59B2-4F37-9885-5BA61E975AC6}"/>
  </dataValidations>
  <printOptions horizontalCentered="1"/>
  <pageMargins left="0.23622047244094491" right="0.23622047244094491" top="0.31496062992125984" bottom="0.31496062992125984" header="0.31496062992125984" footer="0.31496062992125984"/>
  <pageSetup paperSize="9" scale="72" orientation="landscape" r:id="rId1"/>
  <headerFooter>
    <oddFooter>&amp;L&amp;F&amp;C&amp;A&amp;RPage &amp;P of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FA832-D031-42EB-A705-8A3804CA2689}">
  <sheetPr codeName="Sheet3">
    <tabColor rgb="FF7030A0"/>
  </sheetPr>
  <dimension ref="A1"/>
  <sheetViews>
    <sheetView workbookViewId="0"/>
  </sheetViews>
  <sheetFormatPr defaultRowHeight="15" customHeight="1" x14ac:dyDescent="0.2"/>
  <cols>
    <col min="1" max="16384" width="9.140625" style="146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9</vt:i4>
      </vt:variant>
    </vt:vector>
  </HeadingPairs>
  <TitlesOfParts>
    <vt:vector size="13" baseType="lpstr">
      <vt:lpstr>Control</vt:lpstr>
      <vt:lpstr>Hire Purchase</vt:lpstr>
      <vt:lpstr>Journal Worksheet</vt:lpstr>
      <vt:lpstr>DIY</vt:lpstr>
      <vt:lpstr>BorrowingMaxPeriod</vt:lpstr>
      <vt:lpstr>BorrowingWriteOff</vt:lpstr>
      <vt:lpstr>DateCommence</vt:lpstr>
      <vt:lpstr>HpSchedule</vt:lpstr>
      <vt:lpstr>HpSummary</vt:lpstr>
      <vt:lpstr>'Hire Purchase'!Print_Area</vt:lpstr>
      <vt:lpstr>'Journal Worksheet'!Print_Area</vt:lpstr>
      <vt:lpstr>'Hire Purchase'!Print_Titles</vt:lpstr>
      <vt:lpstr>YearEnd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Accountants Desktop</dc:creator>
  <cp:keywords>Product</cp:keywords>
  <cp:lastModifiedBy>Dennis Coleman</cp:lastModifiedBy>
  <cp:lastPrinted>2026-06-16T01:30:12Z</cp:lastPrinted>
  <dcterms:created xsi:type="dcterms:W3CDTF">2008-08-19T08:26:18Z</dcterms:created>
  <dcterms:modified xsi:type="dcterms:W3CDTF">2026-06-16T01:30:17Z</dcterms:modified>
</cp:coreProperties>
</file>